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perma\guzey.com\static\files\science\bloom\"/>
    </mc:Choice>
  </mc:AlternateContent>
  <xr:revisionPtr revIDLastSave="0" documentId="13_ncr:1_{E11ECF8B-BFF2-4386-85B6-D75278B08C13}" xr6:coauthVersionLast="45" xr6:coauthVersionMax="45" xr10:uidLastSave="{00000000-0000-0000-0000-000000000000}"/>
  <bookViews>
    <workbookView xWindow="-110" yWindow="490" windowWidth="38620" windowHeight="21220" tabRatio="993" activeTab="9" xr2:uid="{00000000-000D-0000-FFFF-FFFF00000000}"/>
  </bookViews>
  <sheets>
    <sheet name="MASTER" sheetId="1" r:id="rId1"/>
    <sheet name="Yields" sheetId="2" r:id="rId2"/>
    <sheet name="Private seed shares" sheetId="3" r:id="rId3"/>
    <sheet name="Private protection shares" sheetId="4" r:id="rId4"/>
    <sheet name="Public R&amp;D" sheetId="5" r:id="rId5"/>
    <sheet name="Public crop shares" sheetId="6" r:id="rId6"/>
    <sheet name="New Huffman figures" sheetId="7" r:id="rId7"/>
    <sheet name="Crops" sheetId="8" r:id="rId8"/>
    <sheet name="Export" sheetId="9" r:id="rId9"/>
    <sheet name="guzey" sheetId="10" r:id="rId10"/>
  </sheets>
  <definedNames>
    <definedName name="ValidCrops">Crops!$A$1:$A$4</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H43" i="10" l="1"/>
  <c r="C44"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3" i="10"/>
  <c r="C5" i="10"/>
  <c r="C6" i="10"/>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C42" i="10" s="1"/>
  <c r="C43" i="10" s="1"/>
  <c r="C4" i="10"/>
  <c r="D25" i="6" l="1"/>
  <c r="C25" i="6"/>
  <c r="B25" i="6"/>
  <c r="D24" i="6"/>
  <c r="C24" i="6"/>
  <c r="B24" i="6"/>
  <c r="D23" i="6"/>
  <c r="C23" i="6"/>
  <c r="B23" i="6"/>
  <c r="D22" i="6"/>
  <c r="C22" i="6"/>
  <c r="B22" i="6"/>
  <c r="P61" i="5"/>
  <c r="O61" i="5"/>
  <c r="N61" i="5"/>
  <c r="M61" i="5"/>
  <c r="P60" i="5"/>
  <c r="O60" i="5"/>
  <c r="N60" i="5"/>
  <c r="M60" i="5"/>
  <c r="P59" i="5"/>
  <c r="O59" i="5"/>
  <c r="N59" i="5"/>
  <c r="M59" i="5"/>
  <c r="P58" i="5"/>
  <c r="O58" i="5"/>
  <c r="N58" i="5"/>
  <c r="M58" i="5"/>
  <c r="P57" i="5"/>
  <c r="O57" i="5"/>
  <c r="N57" i="5"/>
  <c r="M57" i="5"/>
  <c r="P56" i="5"/>
  <c r="O56" i="5"/>
  <c r="N56" i="5"/>
  <c r="M56" i="5"/>
  <c r="P55" i="5"/>
  <c r="O55" i="5"/>
  <c r="N55" i="5"/>
  <c r="M55" i="5"/>
  <c r="P54" i="5"/>
  <c r="O54" i="5"/>
  <c r="N54" i="5"/>
  <c r="M54" i="5"/>
  <c r="P53" i="5"/>
  <c r="O53" i="5"/>
  <c r="N53" i="5"/>
  <c r="M53" i="5"/>
  <c r="P52" i="5"/>
  <c r="O52" i="5"/>
  <c r="N52" i="5"/>
  <c r="M52" i="5"/>
  <c r="P51" i="5"/>
  <c r="O51" i="5"/>
  <c r="N51" i="5"/>
  <c r="M51" i="5"/>
  <c r="P50" i="5"/>
  <c r="O50" i="5"/>
  <c r="N50" i="5"/>
  <c r="M50" i="5"/>
  <c r="P49" i="5"/>
  <c r="O49" i="5"/>
  <c r="N49" i="5"/>
  <c r="M49" i="5"/>
  <c r="P48" i="5"/>
  <c r="O48" i="5"/>
  <c r="N48" i="5"/>
  <c r="M48" i="5"/>
  <c r="P47" i="5"/>
  <c r="O47" i="5"/>
  <c r="N47" i="5"/>
  <c r="M47" i="5"/>
  <c r="P46" i="5"/>
  <c r="O46" i="5"/>
  <c r="N46" i="5"/>
  <c r="M46" i="5"/>
  <c r="W45" i="5"/>
  <c r="P16" i="5" s="1"/>
  <c r="V45" i="5"/>
  <c r="O16" i="5" s="1"/>
  <c r="U45" i="5"/>
  <c r="N16" i="5" s="1"/>
  <c r="T45" i="5"/>
  <c r="M16" i="5" s="1"/>
  <c r="P45" i="5"/>
  <c r="O45" i="5"/>
  <c r="N45" i="5"/>
  <c r="M45" i="5"/>
  <c r="W44" i="5"/>
  <c r="V44" i="5"/>
  <c r="U44" i="5"/>
  <c r="T44" i="5"/>
  <c r="P44" i="5"/>
  <c r="O44" i="5"/>
  <c r="N44" i="5"/>
  <c r="M44" i="5"/>
  <c r="P43" i="5"/>
  <c r="O43" i="5"/>
  <c r="N43" i="5"/>
  <c r="M43" i="5"/>
  <c r="P42" i="5"/>
  <c r="O42" i="5"/>
  <c r="N42" i="5"/>
  <c r="M42" i="5"/>
  <c r="P41" i="5"/>
  <c r="O41" i="5"/>
  <c r="N41" i="5"/>
  <c r="M41" i="5"/>
  <c r="P40" i="5"/>
  <c r="O40" i="5"/>
  <c r="N40" i="5"/>
  <c r="M40" i="5"/>
  <c r="P31" i="5"/>
  <c r="O31" i="5"/>
  <c r="N31" i="5"/>
  <c r="M31" i="5"/>
  <c r="D74" i="4"/>
  <c r="C74" i="4"/>
  <c r="B74" i="4"/>
  <c r="D73" i="4"/>
  <c r="C73" i="4"/>
  <c r="B73" i="4"/>
  <c r="D72" i="4"/>
  <c r="C72" i="4"/>
  <c r="B72" i="4"/>
  <c r="D71" i="4"/>
  <c r="C71" i="4"/>
  <c r="B71" i="4"/>
  <c r="D70" i="4"/>
  <c r="C70" i="4"/>
  <c r="B70" i="4"/>
  <c r="D69" i="4"/>
  <c r="C69" i="4"/>
  <c r="B69" i="4"/>
  <c r="D68" i="4"/>
  <c r="C68" i="4"/>
  <c r="B68" i="4"/>
  <c r="D67" i="4"/>
  <c r="C67" i="4"/>
  <c r="B67" i="4"/>
  <c r="B75" i="4" s="1"/>
  <c r="D66" i="4"/>
  <c r="V17" i="4" s="1"/>
  <c r="C66" i="4"/>
  <c r="B66" i="4"/>
  <c r="D65" i="4"/>
  <c r="C65" i="4"/>
  <c r="B65" i="4"/>
  <c r="D64" i="4"/>
  <c r="D75" i="4" s="1"/>
  <c r="C64" i="4"/>
  <c r="C75" i="4" s="1"/>
  <c r="B64" i="4"/>
  <c r="F55" i="4"/>
  <c r="D55" i="4"/>
  <c r="B55" i="4"/>
  <c r="Q11" i="4"/>
  <c r="P10" i="4"/>
  <c r="Q63" i="3"/>
  <c r="S11" i="4" s="1"/>
  <c r="C61" i="3"/>
  <c r="C60" i="3"/>
  <c r="P63" i="3" s="1"/>
  <c r="S10" i="4" s="1"/>
  <c r="U17" i="4" s="1"/>
  <c r="C59" i="3"/>
  <c r="O63" i="3" s="1"/>
  <c r="S9" i="4" s="1"/>
  <c r="T17" i="4" s="1"/>
  <c r="C58" i="3"/>
  <c r="N63" i="3" s="1"/>
  <c r="Q56" i="3"/>
  <c r="R11" i="4" s="1"/>
  <c r="P56" i="3"/>
  <c r="R10" i="4" s="1"/>
  <c r="O56" i="3"/>
  <c r="R9" i="4" s="1"/>
  <c r="N56" i="3"/>
  <c r="Q51" i="3"/>
  <c r="P51" i="3"/>
  <c r="O51" i="3"/>
  <c r="N51" i="3"/>
  <c r="Q44" i="3"/>
  <c r="P44" i="3"/>
  <c r="Q10" i="4" s="1"/>
  <c r="O44" i="3"/>
  <c r="Q9" i="4" s="1"/>
  <c r="N44" i="3"/>
  <c r="Q8" i="4" s="1"/>
  <c r="Q41" i="3"/>
  <c r="P41" i="3"/>
  <c r="O41" i="3"/>
  <c r="N41" i="3"/>
  <c r="T37" i="3"/>
  <c r="Q37" i="3"/>
  <c r="P37" i="3"/>
  <c r="O37" i="3"/>
  <c r="N37" i="3"/>
  <c r="T32" i="3"/>
  <c r="Q32" i="3"/>
  <c r="P32" i="3"/>
  <c r="O32" i="3"/>
  <c r="P9" i="4" s="1"/>
  <c r="N32" i="3"/>
  <c r="B32" i="3"/>
  <c r="C31" i="3"/>
  <c r="C30" i="3"/>
  <c r="C29" i="3"/>
  <c r="C28" i="3"/>
  <c r="T27" i="3"/>
  <c r="Q27" i="3"/>
  <c r="P11" i="4" s="1"/>
  <c r="P27" i="3"/>
  <c r="O27" i="3"/>
  <c r="N27" i="3"/>
  <c r="P8" i="4" s="1"/>
  <c r="C27" i="3"/>
  <c r="C26" i="3"/>
  <c r="C25" i="3"/>
  <c r="C24" i="3"/>
  <c r="F23" i="3"/>
  <c r="T41" i="3" s="1"/>
  <c r="C23" i="3"/>
  <c r="Q22" i="3"/>
  <c r="P22" i="3"/>
  <c r="O22" i="3"/>
  <c r="N22" i="3"/>
  <c r="C22" i="3"/>
  <c r="C21" i="3"/>
  <c r="F20" i="3"/>
  <c r="C20" i="3"/>
  <c r="C19" i="3"/>
  <c r="C18" i="3"/>
  <c r="C17" i="3"/>
  <c r="C32" i="3" s="1"/>
  <c r="C2" i="1"/>
  <c r="O44" i="1" s="1"/>
  <c r="S8" i="4" l="1"/>
  <c r="S17" i="4" s="1"/>
  <c r="R8" i="4"/>
  <c r="K9" i="4"/>
  <c r="T15" i="4" s="1"/>
  <c r="K11" i="4"/>
  <c r="V15" i="4" s="1"/>
  <c r="K8" i="4"/>
  <c r="S15" i="4" s="1"/>
  <c r="K10" i="4"/>
  <c r="U15" i="4" s="1"/>
  <c r="J11" i="4"/>
  <c r="V14" i="4" s="1"/>
  <c r="J8" i="4"/>
  <c r="S14" i="4" s="1"/>
  <c r="J9" i="4"/>
  <c r="T14" i="4" s="1"/>
  <c r="J10" i="4"/>
  <c r="U14" i="4" s="1"/>
  <c r="L11" i="4"/>
  <c r="V16" i="4" s="1"/>
  <c r="L8" i="4"/>
  <c r="S16" i="4" s="1"/>
  <c r="L10" i="4"/>
  <c r="U16" i="4" s="1"/>
  <c r="L9" i="4"/>
  <c r="T16" i="4" s="1"/>
  <c r="K45" i="1"/>
  <c r="K49" i="1"/>
  <c r="O50" i="1"/>
  <c r="K53" i="1"/>
  <c r="O54" i="1"/>
  <c r="K57" i="1"/>
  <c r="O58" i="1"/>
  <c r="K61" i="1"/>
  <c r="B13" i="1"/>
  <c r="O20" i="1"/>
  <c r="B23" i="1"/>
  <c r="B55" i="1"/>
  <c r="O39" i="1"/>
  <c r="M49" i="1"/>
  <c r="M50" i="1" s="1"/>
  <c r="M51" i="1" s="1"/>
  <c r="M52" i="1" s="1"/>
  <c r="M53" i="1" s="1"/>
  <c r="M54" i="1" s="1"/>
  <c r="M55" i="1" s="1"/>
  <c r="M56" i="1" s="1"/>
  <c r="M57" i="1" s="1"/>
  <c r="M58" i="1" s="1"/>
  <c r="M59" i="1" s="1"/>
  <c r="M60" i="1" s="1"/>
  <c r="M61" i="1" s="1"/>
  <c r="M62" i="1" s="1"/>
  <c r="M63" i="1" s="1"/>
  <c r="M64" i="1" s="1"/>
  <c r="M65" i="1" s="1"/>
  <c r="M66" i="1" s="1"/>
  <c r="B63" i="1"/>
  <c r="O22" i="1"/>
  <c r="B21" i="1"/>
  <c r="B47" i="1"/>
  <c r="B59" i="1"/>
  <c r="O23" i="1"/>
  <c r="B15" i="1"/>
  <c r="B24" i="1"/>
  <c r="B31" i="1"/>
  <c r="B40" i="1"/>
  <c r="B65" i="1"/>
  <c r="K66" i="1"/>
  <c r="T22" i="3"/>
  <c r="B20" i="1"/>
  <c r="O38" i="1"/>
  <c r="B30" i="1"/>
  <c r="B51" i="1"/>
  <c r="O30" i="1"/>
  <c r="O24" i="1"/>
  <c r="G31" i="1"/>
  <c r="I31" i="1" s="1"/>
  <c r="O40" i="1"/>
  <c r="O45" i="1"/>
  <c r="K48" i="1"/>
  <c r="O49" i="1"/>
  <c r="K52" i="1"/>
  <c r="O53" i="1"/>
  <c r="K56" i="1"/>
  <c r="O57" i="1"/>
  <c r="K60" i="1"/>
  <c r="O61" i="1"/>
  <c r="B45" i="1"/>
  <c r="O13" i="1"/>
  <c r="O35" i="1"/>
  <c r="B14" i="1"/>
  <c r="B39" i="1"/>
  <c r="L49" i="1"/>
  <c r="H60" i="1"/>
  <c r="H61" i="1" s="1"/>
  <c r="H62" i="1" s="1"/>
  <c r="H63" i="1" s="1"/>
  <c r="H64" i="1" s="1"/>
  <c r="H65" i="1" s="1"/>
  <c r="H66" i="1" s="1"/>
  <c r="O14" i="1"/>
  <c r="O15" i="1"/>
  <c r="B16" i="1"/>
  <c r="H21" i="1"/>
  <c r="B25" i="1"/>
  <c r="H36" i="1"/>
  <c r="B41" i="1"/>
  <c r="B46" i="1"/>
  <c r="B50" i="1"/>
  <c r="B54" i="1"/>
  <c r="B58" i="1"/>
  <c r="B62" i="1"/>
  <c r="K63" i="1"/>
  <c r="O46" i="1"/>
  <c r="O16" i="1"/>
  <c r="O25" i="1"/>
  <c r="O31" i="1"/>
  <c r="G41" i="1"/>
  <c r="I41" i="1" s="1"/>
  <c r="O29" i="1"/>
  <c r="B36" i="1"/>
  <c r="B17" i="1"/>
  <c r="B26" i="1"/>
  <c r="B32" i="1"/>
  <c r="B67" i="1"/>
  <c r="G17" i="1"/>
  <c r="K36" i="1"/>
  <c r="K47" i="1"/>
  <c r="O48" i="1"/>
  <c r="K51" i="1"/>
  <c r="O52" i="1"/>
  <c r="K55" i="1"/>
  <c r="O56" i="1"/>
  <c r="K59" i="1"/>
  <c r="O60" i="1"/>
  <c r="B38" i="1"/>
  <c r="K64" i="1"/>
  <c r="O26" i="1"/>
  <c r="L21" i="1"/>
  <c r="B33" i="1"/>
  <c r="B42" i="1"/>
  <c r="B53" i="1"/>
  <c r="B61" i="1"/>
  <c r="B64" i="1"/>
  <c r="M21" i="1"/>
  <c r="O33" i="1"/>
  <c r="O42" i="1"/>
  <c r="B35" i="1"/>
  <c r="O32" i="1"/>
  <c r="B27" i="1"/>
  <c r="L36" i="1"/>
  <c r="B49" i="1"/>
  <c r="B57" i="1"/>
  <c r="K65" i="1"/>
  <c r="O17" i="1"/>
  <c r="G27" i="1"/>
  <c r="I27" i="1" s="1"/>
  <c r="M36" i="1"/>
  <c r="B12" i="1"/>
  <c r="B18" i="1"/>
  <c r="B34" i="1"/>
  <c r="B43" i="1"/>
  <c r="K62" i="1"/>
  <c r="G12" i="1"/>
  <c r="I12" i="1" s="1"/>
  <c r="O18" i="1"/>
  <c r="O21" i="1"/>
  <c r="O27" i="1"/>
  <c r="G34" i="1"/>
  <c r="O36" i="1"/>
  <c r="O43" i="1"/>
  <c r="K46" i="1"/>
  <c r="O47" i="1"/>
  <c r="K50" i="1"/>
  <c r="O51" i="1"/>
  <c r="G53" i="1"/>
  <c r="K54" i="1"/>
  <c r="O55" i="1"/>
  <c r="K58" i="1"/>
  <c r="O59" i="1"/>
  <c r="B29" i="1"/>
  <c r="G46" i="1"/>
  <c r="B19" i="1"/>
  <c r="B22" i="1"/>
  <c r="B28" i="1"/>
  <c r="B37" i="1"/>
  <c r="B44" i="1"/>
  <c r="B48" i="1"/>
  <c r="H49" i="1"/>
  <c r="B52" i="1"/>
  <c r="B56" i="1"/>
  <c r="B60" i="1"/>
  <c r="B66" i="1"/>
  <c r="K21" i="1"/>
  <c r="O41" i="1"/>
  <c r="O12" i="1"/>
  <c r="O19" i="1"/>
  <c r="G22" i="1"/>
  <c r="I22" i="1" s="1"/>
  <c r="O28" i="1"/>
  <c r="O34" i="1"/>
  <c r="O37" i="1"/>
  <c r="L50" i="1" l="1"/>
  <c r="N49" i="1"/>
  <c r="G49" i="1"/>
  <c r="I49" i="1" s="1"/>
  <c r="I46" i="1"/>
  <c r="G50" i="1"/>
  <c r="I50" i="1" s="1"/>
  <c r="G51" i="1"/>
  <c r="I51" i="1" s="1"/>
  <c r="G47" i="1"/>
  <c r="I47" i="1" s="1"/>
  <c r="G52" i="1"/>
  <c r="I52" i="1" s="1"/>
  <c r="G48" i="1"/>
  <c r="I48" i="1" s="1"/>
  <c r="I53" i="1"/>
  <c r="G54" i="1"/>
  <c r="I17" i="1"/>
  <c r="G21" i="1"/>
  <c r="I21" i="1" s="1"/>
  <c r="M46" i="1"/>
  <c r="M47" i="1"/>
  <c r="M48" i="1"/>
  <c r="M45" i="1"/>
  <c r="H57" i="1"/>
  <c r="H53" i="1"/>
  <c r="H54" i="1"/>
  <c r="H58" i="1"/>
  <c r="H50" i="1"/>
  <c r="H59" i="1"/>
  <c r="H55" i="1"/>
  <c r="H51" i="1"/>
  <c r="H56" i="1"/>
  <c r="H52" i="1"/>
  <c r="N21" i="1"/>
  <c r="H46" i="1"/>
  <c r="H47" i="1"/>
  <c r="H48" i="1"/>
  <c r="I34" i="1"/>
  <c r="G36" i="1"/>
  <c r="I36" i="1" s="1"/>
  <c r="L46" i="1"/>
  <c r="N46" i="1" s="1"/>
  <c r="N36" i="1"/>
  <c r="L47" i="1"/>
  <c r="N47" i="1" s="1"/>
  <c r="L48" i="1"/>
  <c r="N48" i="1" s="1"/>
  <c r="L45" i="1"/>
  <c r="N45" i="1" s="1"/>
  <c r="I54" i="1" l="1"/>
  <c r="G55" i="1"/>
  <c r="C48" i="1"/>
  <c r="J48" i="1"/>
  <c r="D48" i="1" s="1"/>
  <c r="J52" i="1"/>
  <c r="D52" i="1" s="1"/>
  <c r="J21" i="1"/>
  <c r="D21" i="1" s="1"/>
  <c r="C21" i="1"/>
  <c r="J53" i="1"/>
  <c r="D53" i="1" s="1"/>
  <c r="J47" i="1"/>
  <c r="D47" i="1" s="1"/>
  <c r="C47" i="1"/>
  <c r="J51" i="1"/>
  <c r="D51" i="1" s="1"/>
  <c r="J50" i="1"/>
  <c r="D50" i="1" s="1"/>
  <c r="J46" i="1"/>
  <c r="D46" i="1" s="1"/>
  <c r="C46" i="1"/>
  <c r="C49" i="1"/>
  <c r="J49" i="1"/>
  <c r="D49" i="1" s="1"/>
  <c r="J36" i="1"/>
  <c r="D36" i="1" s="1"/>
  <c r="C36" i="1"/>
  <c r="L51" i="1"/>
  <c r="N50" i="1"/>
  <c r="C50" i="1" s="1"/>
  <c r="I55" i="1" l="1"/>
  <c r="G56" i="1"/>
  <c r="N51" i="1"/>
  <c r="C51" i="1" s="1"/>
  <c r="L52" i="1"/>
  <c r="J54" i="1"/>
  <c r="D54" i="1" s="1"/>
  <c r="N52" i="1" l="1"/>
  <c r="C52" i="1" s="1"/>
  <c r="L53" i="1"/>
  <c r="G57" i="1"/>
  <c r="I56" i="1"/>
  <c r="J55" i="1"/>
  <c r="D55" i="1" s="1"/>
  <c r="J56" i="1" l="1"/>
  <c r="D56" i="1" s="1"/>
  <c r="I57" i="1"/>
  <c r="G58" i="1"/>
  <c r="L54" i="1"/>
  <c r="N53" i="1"/>
  <c r="C53" i="1" s="1"/>
  <c r="J57" i="1" l="1"/>
  <c r="D57" i="1" s="1"/>
  <c r="I58" i="1"/>
  <c r="G59" i="1"/>
  <c r="N54" i="1"/>
  <c r="C54" i="1" s="1"/>
  <c r="L55" i="1"/>
  <c r="N55" i="1" l="1"/>
  <c r="C55" i="1" s="1"/>
  <c r="L56" i="1"/>
  <c r="I59" i="1"/>
  <c r="G60" i="1"/>
  <c r="J58" i="1"/>
  <c r="D58" i="1" s="1"/>
  <c r="J59" i="1" l="1"/>
  <c r="D59" i="1" s="1"/>
  <c r="N56" i="1"/>
  <c r="C56" i="1" s="1"/>
  <c r="L57" i="1"/>
  <c r="G61" i="1"/>
  <c r="I60" i="1"/>
  <c r="J60" i="1" l="1"/>
  <c r="D60" i="1" s="1"/>
  <c r="I61" i="1"/>
  <c r="G62" i="1"/>
  <c r="L58" i="1"/>
  <c r="N57" i="1"/>
  <c r="C57" i="1" s="1"/>
  <c r="I62" i="1" l="1"/>
  <c r="G63" i="1"/>
  <c r="L59" i="1"/>
  <c r="N58" i="1"/>
  <c r="C58" i="1" s="1"/>
  <c r="J61" i="1"/>
  <c r="D61" i="1" s="1"/>
  <c r="N59" i="1" l="1"/>
  <c r="C59" i="1" s="1"/>
  <c r="L60" i="1"/>
  <c r="G64" i="1"/>
  <c r="I63" i="1"/>
  <c r="J62" i="1"/>
  <c r="I64" i="1" l="1"/>
  <c r="G65" i="1"/>
  <c r="J63" i="1"/>
  <c r="N60" i="1"/>
  <c r="C60" i="1" s="1"/>
  <c r="L61" i="1"/>
  <c r="L62" i="1" l="1"/>
  <c r="N61" i="1"/>
  <c r="C61" i="1" s="1"/>
  <c r="G66" i="1"/>
  <c r="I66" i="1" s="1"/>
  <c r="I65" i="1"/>
  <c r="J64" i="1"/>
  <c r="J66" i="1" l="1"/>
  <c r="J65" i="1"/>
  <c r="N62" i="1"/>
  <c r="C62" i="1" s="1"/>
  <c r="L63" i="1"/>
  <c r="N63" i="1" l="1"/>
  <c r="C63" i="1" s="1"/>
  <c r="L64" i="1"/>
  <c r="L65" i="1" l="1"/>
  <c r="N64" i="1"/>
  <c r="C64" i="1" s="1"/>
  <c r="N65" i="1" l="1"/>
  <c r="C65" i="1" s="1"/>
  <c r="L66" i="1"/>
  <c r="N66" i="1" s="1"/>
  <c r="C6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9" authorId="0" shapeId="0" xr:uid="{00000000-0006-0000-0000-000001000000}">
      <text>
        <r>
          <rPr>
            <b/>
            <sz val="10"/>
            <color rgb="FF000000"/>
            <rFont val="Calibri"/>
            <family val="2"/>
            <charset val="1"/>
          </rPr>
          <t>"The figures on private R&amp;D in AIB-786 were based on an earlier methodology. For ERR-130, we developed a new series for crop breeding R&amp;D that was based on a more comprehensive accounting of R&amp;D spending by seed firms. We have since updated that series through 2014. I’ve attached the updated series here. The updated series hasn’t been published yet, but feel free to use it in your research. It will be coming out in a journal called Global Food Security later this year.
The series on “plant breeding R&amp;D” in AIB-786 and “crop seed and biotech R&amp;D” in ERR-130 and the attached essentially measure the same thing. For the years up to 1989, both estimates relied on occasional, independent surveys  of the U.S. seed industry and then interpolated estimates for unobserved years in between the surveys. AIB-786 interpolated using the R&amp;D spending growth rate of the leading US plant breeding firm (Pioneer Seed, now part of Dupont), which published its R&amp;D spending data. For ERR-130 and our recent update, we now assume a constant growth rate between observed years to fill in the spending trend. We are also more selective in the choice of survey estimates for these early years, using only those we judge to be the most comprehensive of the industry. For years since 1989, we now have more complete data on annual R&amp;D spending by most of the leading firms in the industry (Dupont, Monsanto, Dow, etc.) and make an allowance for other , smaller firms based on their market share."
Keith Fuglie, Resource and Rural Economics Division, Economic Research Service, U.S. Department of Agriculture. Private communication with Michael Webb, July 25, 2016.</t>
        </r>
      </text>
    </comment>
    <comment ref="F9" authorId="0" shapeId="0" xr:uid="{00000000-0006-0000-0000-000002000000}">
      <text>
        <r>
          <rPr>
            <b/>
            <sz val="10"/>
            <color rgb="FF000000"/>
            <rFont val="Calibri"/>
            <family val="2"/>
            <charset val="1"/>
          </rPr>
          <t>"The figures on private R&amp;D in AIB-786 were based on an earlier methodology. For ERR-130, we developed a new series for crop breeding R&amp;D that was based on a more comprehensive accounting of R&amp;D spending by seed firms. We have since updated that series through 2014. I’ve attached the updated series here. The updated series hasn’t been published yet, but feel free to use it in your research. It will be coming out in a journal called Global Food Security later this year.
The series on “plant breeding R&amp;D” in AIB-786 and “crop seed and biotech R&amp;D” in ERR-130 and the attached essentially measure the same thing. For the years up to 1989, both estimates relied on occasional, independent surveys  of the U.S. seed industry and then interpolated estimates for unobserved years in between the surveys. AIB-786 interpolated using the R&amp;D spending growth rate of the leading US plant breeding firm (Pioneer Seed, now part of Dupont), which published its R&amp;D spending data. For ERR-130 and our recent update, we now assume a constant growth rate between observed years to fill in the spending trend. We are also more selective in the choice of survey estimates for these early years, using only those we judge to be the most comprehensive of the industry. For years since 1989, we now have more complete data on annual R&amp;D spending by most of the leading firms in the industry (Dupont, Monsanto, Dow, etc.) and make an allowance for other , smaller firms based on their market share."
Keith Fuglie, Resource and Rural Economics Division, Economic Research Service, U.S. Department of Agriculture. Private communication with Michael Webb, July 25, 2016.</t>
        </r>
      </text>
    </comment>
    <comment ref="K27" authorId="0" shapeId="0" xr:uid="{00000000-0006-0000-0000-000003000000}">
      <text>
        <r>
          <rPr>
            <b/>
            <sz val="10"/>
            <color rgb="FF000000"/>
            <rFont val="Calibri"/>
            <family val="2"/>
            <charset val="1"/>
          </rPr>
          <t>May want to interpolate for public (e.g.) 1975 and 1989.</t>
        </r>
      </text>
    </comment>
  </commentList>
</comments>
</file>

<file path=xl/sharedStrings.xml><?xml version="1.0" encoding="utf-8"?>
<sst xmlns="http://schemas.openxmlformats.org/spreadsheetml/2006/main" count="775" uniqueCount="211">
  <si>
    <t>Seed R&amp;D and crop yields, 1960-2015</t>
  </si>
  <si>
    <t>Select crop:</t>
  </si>
  <si>
    <t>Corn</t>
  </si>
  <si>
    <t>Ideas</t>
  </si>
  <si>
    <t>Total R&amp;D (seed efficiency only)</t>
  </si>
  <si>
    <t>Total R&amp;D (seed efficiency and crop protection)</t>
  </si>
  <si>
    <t>Private crop seed and biotech R&amp;D</t>
  </si>
  <si>
    <t>Private crop protection chemicals</t>
  </si>
  <si>
    <t>Share of private *seed* R&amp;D on selected crop</t>
  </si>
  <si>
    <t>Share of private *protection* R&amp;D on selected crop</t>
  </si>
  <si>
    <t>Private R&amp;D on selected crop</t>
  </si>
  <si>
    <t>Public R&amp;D on selected crop</t>
  </si>
  <si>
    <t>Share of public R&amp;D for crop</t>
  </si>
  <si>
    <t>Warnings</t>
  </si>
  <si>
    <t>See warnings on sheet for cotton/wheat 1960-79.</t>
  </si>
  <si>
    <t>Averages of private *seed* shares, public protection shares, private protection sales shares.</t>
  </si>
  <si>
    <t>See warnings on sheet for 1969 and 1984.</t>
  </si>
  <si>
    <t>Comment</t>
  </si>
  <si>
    <t>Realized average yields</t>
  </si>
  <si>
    <t>Seed efficiency only</t>
  </si>
  <si>
    <r>
      <rPr>
        <sz val="12"/>
        <color rgb="FF000000"/>
        <rFont val="Calibri"/>
        <family val="2"/>
        <charset val="1"/>
      </rPr>
      <t xml:space="preserve">Seed efficiency </t>
    </r>
    <r>
      <rPr>
        <b/>
        <sz val="12"/>
        <color rgb="FF000000"/>
        <rFont val="Calibri"/>
        <family val="2"/>
        <charset val="1"/>
      </rPr>
      <t>and</t>
    </r>
    <r>
      <rPr>
        <sz val="12"/>
        <color rgb="FF000000"/>
        <rFont val="Calibri"/>
        <family val="2"/>
        <charset val="1"/>
      </rPr>
      <t xml:space="preserve"> crop protection</t>
    </r>
  </si>
  <si>
    <t>None</t>
  </si>
  <si>
    <t>All research, not just seed efficiency</t>
  </si>
  <si>
    <t>Biological efficiency only</t>
  </si>
  <si>
    <r>
      <rPr>
        <sz val="12"/>
        <color rgb="FF000000"/>
        <rFont val="Calibri"/>
        <family val="2"/>
        <charset val="1"/>
      </rPr>
      <t xml:space="preserve">Biological efficiency </t>
    </r>
    <r>
      <rPr>
        <b/>
        <sz val="12"/>
        <color rgb="FF000000"/>
        <rFont val="Calibri"/>
        <family val="2"/>
        <charset val="1"/>
      </rPr>
      <t>and</t>
    </r>
    <r>
      <rPr>
        <sz val="12"/>
        <color rgb="FF000000"/>
        <rFont val="Calibri"/>
        <family val="2"/>
        <charset val="1"/>
      </rPr>
      <t xml:space="preserve"> crop protection-maintenance</t>
    </r>
  </si>
  <si>
    <t>Units</t>
  </si>
  <si>
    <t>Bushels/acre (except cotton: lb/acre)</t>
  </si>
  <si>
    <t>$m nominal</t>
  </si>
  <si>
    <t>Percentage</t>
  </si>
  <si>
    <t>Calculation</t>
  </si>
  <si>
    <t>Original series</t>
  </si>
  <si>
    <t>Sum of public + private</t>
  </si>
  <si>
    <t>Original series. Black text is linear interpolation.</t>
  </si>
  <si>
    <t>Imputed series. Black text is linear interpolation.</t>
  </si>
  <si>
    <t>Seed R&amp;D for all crops * (share on this crop)</t>
  </si>
  <si>
    <t>Prev. col. + protection R&amp;D for all crops * (share on this crop)</t>
  </si>
  <si>
    <t>Crop R&amp;D * (share on efficiency)</t>
  </si>
  <si>
    <t>Original series (see New Huffman figures)</t>
  </si>
  <si>
    <t>Source</t>
  </si>
  <si>
    <t>USDA. See Yields sheet for links.</t>
  </si>
  <si>
    <t>N/A</t>
  </si>
  <si>
    <t>Fuglie (unpublished, private communication: see comment).</t>
  </si>
  <si>
    <t>See linked cells. Perrin (1960-79), Fernandez-Cornejo (1984-94), and Traxler (2001).</t>
  </si>
  <si>
    <t>See linked cells. Combination of private R&amp;D shares, public R&amp;D shares, sales figures.</t>
  </si>
  <si>
    <t>See linked cells. Huffman &amp; Evenson (2006), CRIS.</t>
  </si>
  <si>
    <t>Huffman &amp; Evenson (2006)</t>
  </si>
  <si>
    <t>Huffman (unpublished, private communication)</t>
  </si>
  <si>
    <t>Year</t>
  </si>
  <si>
    <t>Yields</t>
  </si>
  <si>
    <t>Soybeans</t>
  </si>
  <si>
    <t>Cotton</t>
  </si>
  <si>
    <t>Wheat</t>
  </si>
  <si>
    <t>Get data</t>
  </si>
  <si>
    <t>Private seed shares</t>
  </si>
  <si>
    <t>Fernandez-Cornejo</t>
  </si>
  <si>
    <t>Perrin et al., 1983</t>
  </si>
  <si>
    <t>Provded by Fuglie. Percentages calculated by Fuglie.</t>
  </si>
  <si>
    <t>Table 31</t>
  </si>
  <si>
    <t>Share of SY in private plant breeding R&amp;D</t>
  </si>
  <si>
    <t>Table 3</t>
  </si>
  <si>
    <t>Crop breeding research expenditures reported by 59 firms</t>
  </si>
  <si>
    <r>
      <rPr>
        <i/>
        <sz val="12"/>
        <color rgb="FF000000"/>
        <rFont val="Calibri"/>
        <family val="2"/>
        <charset val="1"/>
      </rPr>
      <t>% of total research expenditure</t>
    </r>
    <r>
      <rPr>
        <sz val="12"/>
        <color rgb="FF000000"/>
        <rFont val="Calibri"/>
        <family val="2"/>
        <charset val="1"/>
      </rPr>
      <t xml:space="preserve"> (calculated by Fuglie)</t>
    </r>
  </si>
  <si>
    <t>Hybrid corn</t>
  </si>
  <si>
    <t>Hybrid sorghum</t>
  </si>
  <si>
    <t>Others</t>
  </si>
  <si>
    <t>Cereals</t>
  </si>
  <si>
    <t>Forage and turf grasses</t>
  </si>
  <si>
    <t>Vegetables</t>
  </si>
  <si>
    <t>Huffman Evenson</t>
  </si>
  <si>
    <t>Other crops</t>
  </si>
  <si>
    <t>Table 4.4</t>
  </si>
  <si>
    <t>Absolute SYs in industry crop breeding R&amp;D</t>
  </si>
  <si>
    <t>Perrin, Richard K., K. A. Kunnings, and L.A. Ihnen. "Some effects of the US Plant Variety Protection Act of 1970." North Carolina State University. Dept. of Economics and Business. Economics research report (USA). no. 46. (1983).</t>
  </si>
  <si>
    <t>Share</t>
  </si>
  <si>
    <t>Corn-Sorghum</t>
  </si>
  <si>
    <t>Private seed shares derived series (combination of two tables above)</t>
  </si>
  <si>
    <t>Wheat-Rye</t>
  </si>
  <si>
    <t>Warning</t>
  </si>
  <si>
    <t>Using 'Cereals' for wheat, 1960-79, multiplied by wheat as a share of cereals in 1961 (HE Table 4.4). Cereals also includes barley, oats, etc. (And corn and sorghum, but these are listed separately in the source table.)</t>
  </si>
  <si>
    <t>Other Cereals</t>
  </si>
  <si>
    <t>Wheat as share of cereals:</t>
  </si>
  <si>
    <t>Using 'Other crops' for cotton, 1960-79. If we multiply the 'Other crops' figures by cotton as a share of other crops in 1961 (HE Table 4.4), as done in column T, we get implausibly small figures. This motivates our choice of the more conservative (larger) figures.</t>
  </si>
  <si>
    <t>Cotton &amp; Other Fibers</t>
  </si>
  <si>
    <t>Alternative cotton measure</t>
  </si>
  <si>
    <t>Forage, Pasture and Range</t>
  </si>
  <si>
    <t>Other crops x (cotton's share of other crops)</t>
  </si>
  <si>
    <t>Tobacco</t>
  </si>
  <si>
    <t>Cotton as share of other crops:</t>
  </si>
  <si>
    <t>Sugar</t>
  </si>
  <si>
    <t>Other Oilseeds</t>
  </si>
  <si>
    <t>Potatoes</t>
  </si>
  <si>
    <t>Citrus Fruits</t>
  </si>
  <si>
    <t>Other Fruits</t>
  </si>
  <si>
    <t>Tree Nuts</t>
  </si>
  <si>
    <t>Ornamentals</t>
  </si>
  <si>
    <t>Total</t>
  </si>
  <si>
    <t>In the private sector an SMY is equivalent to $25k in current dollars or $89,670 in 1984 prices.</t>
  </si>
  <si>
    <t>Fuglie 2011, p. 39</t>
  </si>
  <si>
    <t>It is not easy to estimate how much research is devoted to any particular crop. Companies breeding multiple crops may share resources, such as biotechnology-enabling technologies, across crops or may have other expenses, such as the costs of regulatory compliance, that are diffi cult to allocate. Nonetheless, it is clear that the largest proportion of seed/biotech research is directed toward corn (maize).</t>
  </si>
  <si>
    <r>
      <rPr>
        <sz val="12"/>
        <color rgb="FF000000"/>
        <rFont val="Calibri"/>
        <family val="2"/>
        <charset val="1"/>
      </rPr>
      <t xml:space="preserve">Expert opinion also suggests that </t>
    </r>
    <r>
      <rPr>
        <b/>
        <sz val="12"/>
        <color rgb="FF000000"/>
        <rFont val="Calibri"/>
        <family val="2"/>
        <charset val="1"/>
      </rPr>
      <t>corn</t>
    </r>
    <r>
      <rPr>
        <sz val="12"/>
        <color rgb="FF000000"/>
        <rFont val="Calibri"/>
        <family val="2"/>
        <charset val="1"/>
      </rPr>
      <t xml:space="preserve"> accounts for </t>
    </r>
    <r>
      <rPr>
        <b/>
        <sz val="12"/>
        <color rgb="FF000000"/>
        <rFont val="Calibri"/>
        <family val="2"/>
        <charset val="1"/>
      </rPr>
      <t xml:space="preserve">about </t>
    </r>
    <r>
      <rPr>
        <b/>
        <u/>
        <sz val="12"/>
        <color rgb="FF000000"/>
        <rFont val="Calibri (Body)"/>
        <charset val="1"/>
      </rPr>
      <t>45</t>
    </r>
    <r>
      <rPr>
        <b/>
        <sz val="12"/>
        <color rgb="FF000000"/>
        <rFont val="Calibri"/>
        <family val="2"/>
        <charset val="1"/>
      </rPr>
      <t xml:space="preserve"> percent</t>
    </r>
    <r>
      <rPr>
        <sz val="12"/>
        <color rgb="FF000000"/>
        <rFont val="Calibri"/>
        <family val="2"/>
        <charset val="1"/>
      </rPr>
      <t xml:space="preserve"> of all private-sector seed-related research (Cavalieri, 2009 “personal communication”).</t>
    </r>
  </si>
  <si>
    <t>Traxler et al. 2005</t>
  </si>
  <si>
    <t>https://nifa.usda.gov/resource/national-plant-breeding-study</t>
  </si>
  <si>
    <t xml:space="preserve">Greg Traxler, Albert K. A. Acquaye, Kenneth Frey, and Ann Marie Thro. Nov. 2005. Public Sector Plant Breeding Resources in the US: Study Results for the year 2001.
</t>
  </si>
  <si>
    <t>Excel files provided in private communication</t>
  </si>
  <si>
    <t>SYs</t>
  </si>
  <si>
    <t>Share of total</t>
  </si>
  <si>
    <t>Private crop protection shares</t>
  </si>
  <si>
    <t>No data were available on share of private crop protection R&amp;D expenditure devoted to each crop. As such, we took 3 related measures (crop protection sales shares [left top table], public crop protection shares [center top table], and private seed efficiency shares [right top table]) and took the average. Final values are in the light blue table, middle right.</t>
  </si>
  <si>
    <t>University of York, The Essential Chemical Industry (2013)</t>
  </si>
  <si>
    <t>Huffman and Evenson (2006), derived</t>
  </si>
  <si>
    <t>Private seed efficiency shares (selected years from previous tab, linearly interpolated)</t>
  </si>
  <si>
    <r>
      <rPr>
        <sz val="12"/>
        <color rgb="FF000000"/>
        <rFont val="Calibri"/>
        <family val="2"/>
        <charset val="1"/>
      </rPr>
      <t xml:space="preserve">Crop protection </t>
    </r>
    <r>
      <rPr>
        <b/>
        <i/>
        <sz val="12"/>
        <color rgb="FF000000"/>
        <rFont val="Calibri"/>
        <family val="2"/>
        <charset val="1"/>
      </rPr>
      <t>sales</t>
    </r>
  </si>
  <si>
    <r>
      <rPr>
        <b/>
        <i/>
        <sz val="12"/>
        <color rgb="FF000000"/>
        <rFont val="Calibri"/>
        <family val="2"/>
        <charset val="1"/>
      </rPr>
      <t>Public</t>
    </r>
    <r>
      <rPr>
        <sz val="12"/>
        <color rgb="FF000000"/>
        <rFont val="Calibri"/>
        <family val="2"/>
        <charset val="1"/>
      </rPr>
      <t xml:space="preserve"> crop protection shares</t>
    </r>
  </si>
  <si>
    <r>
      <rPr>
        <sz val="12"/>
        <color rgb="FF000000"/>
        <rFont val="Calibri (Body)"/>
        <charset val="1"/>
      </rPr>
      <t xml:space="preserve">Private </t>
    </r>
    <r>
      <rPr>
        <b/>
        <i/>
        <sz val="12"/>
        <color rgb="FF000000"/>
        <rFont val="Calibri (Body)"/>
        <charset val="1"/>
      </rPr>
      <t>seed efficiency</t>
    </r>
    <r>
      <rPr>
        <sz val="12"/>
        <color rgb="FF000000"/>
        <rFont val="Calibri (Body)"/>
        <charset val="1"/>
      </rPr>
      <t xml:space="preserve"> shares</t>
    </r>
  </si>
  <si>
    <t>Share of crop protection research spent on each crop</t>
  </si>
  <si>
    <t>Figure 2</t>
  </si>
  <si>
    <t>Sales value of crop protection chemicals worldwide by type of crop (2008)</t>
  </si>
  <si>
    <t>Other cereals (incl. wheat)</t>
  </si>
  <si>
    <t>Soybean</t>
  </si>
  <si>
    <t>Rice</t>
  </si>
  <si>
    <t>Fruit and vegetables</t>
  </si>
  <si>
    <t>Averaging the above three tables:</t>
  </si>
  <si>
    <t>Final values</t>
  </si>
  <si>
    <t>Each year, two values are averaged</t>
  </si>
  <si>
    <t>from the tables with that year.</t>
  </si>
  <si>
    <t>Supporting Huffman and Evenson (2006) tables used in calculations for middle table, above</t>
  </si>
  <si>
    <t>Table 4.9    Distribution of agricultural research expenditures by major research foci for federal and state institutions, 1969,1984, and 1997</t>
  </si>
  <si>
    <t>Research</t>
  </si>
  <si>
    <t>Biological</t>
  </si>
  <si>
    <t>Protection-</t>
  </si>
  <si>
    <t>Post-</t>
  </si>
  <si>
    <t>Commodities</t>
  </si>
  <si>
    <t>Efficiency</t>
  </si>
  <si>
    <t>Mechanization</t>
  </si>
  <si>
    <t>Management</t>
  </si>
  <si>
    <t>Maintenance</t>
  </si>
  <si>
    <t>Harvest</t>
  </si>
  <si>
    <t>Crops:</t>
  </si>
  <si>
    <t>(percentage of total expenditures on a commodity)</t>
  </si>
  <si>
    <t>Other Oil Seeds</t>
  </si>
  <si>
    <t>Forage</t>
  </si>
  <si>
    <t>Tobacco-Sugar</t>
  </si>
  <si>
    <t>Fruit-Vegetables</t>
  </si>
  <si>
    <t>New &amp; Misc. Crops</t>
  </si>
  <si>
    <t>Source: U.S. Department of Agriculture, Current Research Information System.</t>
  </si>
  <si>
    <t>Major research foci were defined by grouping CRIS Research Program Areas (RPAs). Proportions do not sum to 1.0 because a residual category is excluded.</t>
  </si>
  <si>
    <t>Table 4.5    Absolute and relative support for agricultural research, by commodity for federal and state institutions, 1969, 1984 and 1997 (thousands of 1984 dollars)</t>
  </si>
  <si>
    <t>Percent</t>
  </si>
  <si>
    <t>Other cereal</t>
  </si>
  <si>
    <t>Other oil seed</t>
  </si>
  <si>
    <t>Tobacco-sugar</t>
  </si>
  <si>
    <t>Potato</t>
  </si>
  <si>
    <t>Fruit-vegetable</t>
  </si>
  <si>
    <t>New &amp; misc. crops</t>
  </si>
  <si>
    <t>Subtotal, (crops)</t>
  </si>
  <si>
    <t>(Derived)</t>
  </si>
  <si>
    <t>Absolute expenditure</t>
  </si>
  <si>
    <t>Protection-Maintenance</t>
  </si>
  <si>
    <t>Public R&amp;D</t>
  </si>
  <si>
    <t>H&amp;E price index</t>
  </si>
  <si>
    <t>Absolute public research on commodity (thousands of 1984 dollars)</t>
  </si>
  <si>
    <t>Absolute public research on commodity, from CRIS (nominal, thousands)</t>
  </si>
  <si>
    <t>1984=1.0</t>
  </si>
  <si>
    <t>WARNING: when use H&amp;E deflator to get back nominal 1997 figures, very different from CRIS. So calculate conversion factor for H&amp;E figures to make consistent with CRIS. See rows 44/45 and formulae for 1969/1984 final numbers.</t>
  </si>
  <si>
    <t>Absolute public research on commodity ($m nominal)</t>
  </si>
  <si>
    <t>Original series from H&amp;E Table 4.5</t>
  </si>
  <si>
    <t>Original series from CRIS</t>
  </si>
  <si>
    <t>Table 4.1, p. 115</t>
  </si>
  <si>
    <t>Deflated H&amp;E (1969, 1984) and original CRIS</t>
  </si>
  <si>
    <t>Note: the figures in the right half of this row have been 'undeflated' to restore nominal values, then multiplied by a splicing factor. See text below.</t>
  </si>
  <si>
    <t>Explanation of series splicing:</t>
  </si>
  <si>
    <t xml:space="preserve">There are two raw series for public R&amp;D. One is the CRIS series, covering 1993-2015; the other is from Huffman and Evenson, covering 1969, 1984, and 1997. The year 1997 is thus an overlapping year. CRIS figures are nominal; H&amp;E figures have been deflated by a price index (provided here in column J). When we use this index to un-deflate the H&amp;E series to get back nominal figures, the amounts for the overlapping year (1997) are very different to the CRIS figures. That said, the CRIS figures are very close to 60% of the un-deflated H&amp;E figures for all four crops, suggesting that the error is simply with the price index. As such, we use the CRIS numbers for all the years available (1993-2015), and multiply the un-deflated H&amp;E figures for the years 1969 and 1984 by this 'splicing factor' to get a consistent series. The cells used for these calculations are immediately below. </t>
  </si>
  <si>
    <t>Deflated H&amp;E:</t>
  </si>
  <si>
    <t>Splicing factor:</t>
  </si>
  <si>
    <t>Public crop shares</t>
  </si>
  <si>
    <t>Huffman and Evenson (2006)</t>
  </si>
  <si>
    <t>% on biological efficiency</t>
  </si>
  <si>
    <t>% on protection-maintenance</t>
  </si>
  <si>
    <t>Table 4.9</t>
  </si>
  <si>
    <t>Distribution of commodity research expenditures: % on biological efficiency</t>
  </si>
  <si>
    <t>Commodity</t>
  </si>
  <si>
    <t>Public agricultural research can be classified into several major foci, as reflected in the CRIS Research Problem Areas (RPAs). We have defined five major research foci by aggregating RPAs into relatively homogeneous groups and constructing research expenditures for each of them. They are biological efficiency, mechanization, protection-maintenance, management, and post-harvest (see Huffman and Evenson 1994, Appendix Table 16, for details). There is a sixth residual category for RPAs that did not seem to fit into our classification scheme.</t>
  </si>
  <si>
    <t>(pp. 128-9)</t>
  </si>
  <si>
    <t>Table 4.5</t>
  </si>
  <si>
    <t>Absolute research support by commodity for federal and state institutions (thousands of 1984 dollars)</t>
  </si>
  <si>
    <t>Take smaller numbers to bias our results away from what we want…</t>
  </si>
  <si>
    <t>Multiplying…</t>
  </si>
  <si>
    <t>These are somewhat smaller than the research expenditures on breeding, reported in Table 28 in Fernandez-Cornejo:</t>
  </si>
  <si>
    <t>Table 28</t>
  </si>
  <si>
    <t>Research expenditures on crop breeding, public sector (million 1984 dollars)</t>
  </si>
  <si>
    <t>Source: Huffman and Evenson (1993)</t>
  </si>
  <si>
    <t>Email: cris@nifa.usda.gov; also Huffman and Evenson</t>
  </si>
  <si>
    <t>I've tried taking your % on biological efficiency, Tables 4.9 and 4.5, in 2ed, but get quite different numbers to F-C Table 28. ???</t>
  </si>
  <si>
    <t>Public R&amp;D - new Huffman figures</t>
  </si>
  <si>
    <t>Absolute productivity-directed public research on commodity ($m nominal)</t>
  </si>
  <si>
    <t>Huffman (private communication)</t>
  </si>
  <si>
    <r>
      <rPr>
        <b/>
        <sz val="16"/>
        <color rgb="FF000000"/>
        <rFont val="Calibri"/>
        <family val="2"/>
        <charset val="1"/>
      </rPr>
      <t xml:space="preserve">WARNING: THIS SHEET DOES </t>
    </r>
    <r>
      <rPr>
        <b/>
        <u/>
        <sz val="16"/>
        <color rgb="FF000000"/>
        <rFont val="Calibri (Body)"/>
        <charset val="1"/>
      </rPr>
      <t>NOT</t>
    </r>
    <r>
      <rPr>
        <b/>
        <sz val="16"/>
        <color rgb="FF000000"/>
        <rFont val="Calibri"/>
        <family val="2"/>
        <charset val="1"/>
      </rPr>
      <t xml:space="preserve"> DYNAMICALLY UPDATE</t>
    </r>
  </si>
  <si>
    <t>Total R&amp;D (seed efficienty only)</t>
  </si>
  <si>
    <t>Seed efficiency and crop protection</t>
  </si>
  <si>
    <t>CORN</t>
  </si>
  <si>
    <t>bushels/acre</t>
  </si>
  <si>
    <t>SOYBEAN</t>
  </si>
  <si>
    <t>COTTON</t>
  </si>
  <si>
    <t>lb/acre</t>
  </si>
  <si>
    <t>WHEAT</t>
  </si>
  <si>
    <t>NaN</t>
  </si>
  <si>
    <t>bushels</t>
  </si>
  <si>
    <t>year</t>
  </si>
  <si>
    <t>change in bushels</t>
  </si>
  <si>
    <t>growth rate %</t>
  </si>
  <si>
    <t>2010 change / 1970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</si>
</sst>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_);\(0.0\)"/>
  </numFmts>
  <fonts count="23">
    <font>
      <sz val="12"/>
      <color rgb="FF000000"/>
      <name val="Calibri"/>
      <family val="2"/>
      <charset val="1"/>
    </font>
    <font>
      <b/>
      <sz val="18"/>
      <color rgb="FF000000"/>
      <name val="Calibri"/>
      <family val="2"/>
      <charset val="1"/>
    </font>
    <font>
      <b/>
      <sz val="20"/>
      <color rgb="FF3F3F76"/>
      <name val="Calibri"/>
      <family val="2"/>
      <charset val="1"/>
    </font>
    <font>
      <sz val="12"/>
      <color rgb="FFE7E6E6"/>
      <name val="Calibri"/>
      <family val="2"/>
      <charset val="1"/>
    </font>
    <font>
      <b/>
      <i/>
      <sz val="14"/>
      <color rgb="FF000000"/>
      <name val="Calibri"/>
      <family val="2"/>
      <charset val="1"/>
    </font>
    <font>
      <b/>
      <sz val="12"/>
      <color rgb="FF000000"/>
      <name val="Calibri"/>
      <family val="2"/>
      <charset val="1"/>
    </font>
    <font>
      <sz val="12"/>
      <color rgb="FF9C0006"/>
      <name val="Calibri"/>
      <family val="2"/>
      <charset val="1"/>
    </font>
    <font>
      <b/>
      <sz val="14"/>
      <color rgb="FF000000"/>
      <name val="Calibri"/>
      <family val="2"/>
      <charset val="1"/>
    </font>
    <font>
      <u/>
      <sz val="12"/>
      <color rgb="FF0563C1"/>
      <name val="Calibri"/>
      <family val="2"/>
      <charset val="1"/>
    </font>
    <font>
      <sz val="12"/>
      <color rgb="FF00B050"/>
      <name val="Calibri"/>
      <family val="2"/>
      <charset val="1"/>
    </font>
    <font>
      <sz val="12"/>
      <color rgb="FF00B0F0"/>
      <name val="Calibri"/>
      <family val="2"/>
      <charset val="1"/>
    </font>
    <font>
      <b/>
      <sz val="10"/>
      <color rgb="FF000000"/>
      <name val="Calibri"/>
      <family val="2"/>
      <charset val="1"/>
    </font>
    <font>
      <b/>
      <u/>
      <sz val="12"/>
      <color rgb="FF000000"/>
      <name val="Calibri"/>
      <family val="2"/>
      <charset val="1"/>
    </font>
    <font>
      <i/>
      <sz val="12"/>
      <color rgb="FF000000"/>
      <name val="Calibri"/>
      <family val="2"/>
      <charset val="1"/>
    </font>
    <font>
      <u/>
      <sz val="12"/>
      <color rgb="FF000000"/>
      <name val="Calibri"/>
      <family val="2"/>
      <charset val="1"/>
    </font>
    <font>
      <b/>
      <sz val="16"/>
      <color rgb="FF000000"/>
      <name val="Calibri"/>
      <family val="2"/>
      <charset val="1"/>
    </font>
    <font>
      <b/>
      <i/>
      <sz val="12"/>
      <color rgb="FF000000"/>
      <name val="Calibri"/>
      <family val="2"/>
      <charset val="1"/>
    </font>
    <font>
      <b/>
      <u/>
      <sz val="12"/>
      <color rgb="FF000000"/>
      <name val="Calibri (Body)"/>
      <charset val="1"/>
    </font>
    <font>
      <sz val="12"/>
      <color rgb="FF000000"/>
      <name val="Calibri (Body)"/>
      <charset val="1"/>
    </font>
    <font>
      <b/>
      <i/>
      <sz val="12"/>
      <color rgb="FF000000"/>
      <name val="Calibri (Body)"/>
      <charset val="1"/>
    </font>
    <font>
      <b/>
      <i/>
      <u/>
      <sz val="12"/>
      <color rgb="FF000000"/>
      <name val="Calibri"/>
      <family val="2"/>
      <charset val="1"/>
    </font>
    <font>
      <b/>
      <u/>
      <sz val="16"/>
      <color rgb="FF000000"/>
      <name val="Calibri (Body)"/>
      <charset val="1"/>
    </font>
    <font>
      <sz val="12"/>
      <color rgb="FF800000"/>
      <name val="Calibri"/>
      <family val="2"/>
      <charset val="1"/>
    </font>
  </fonts>
  <fills count="4">
    <fill>
      <patternFill patternType="none"/>
    </fill>
    <fill>
      <patternFill patternType="gray125"/>
    </fill>
    <fill>
      <patternFill patternType="solid">
        <fgColor rgb="FFFFC7CE"/>
        <bgColor rgb="FFE7E6E6"/>
      </patternFill>
    </fill>
    <fill>
      <patternFill patternType="solid">
        <fgColor rgb="FFDEEBF7"/>
        <bgColor rgb="FFE7E6E6"/>
      </patternFill>
    </fill>
  </fills>
  <borders count="4">
    <border>
      <left/>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double">
        <color auto="1"/>
      </left>
      <right/>
      <top/>
      <bottom/>
      <diagonal/>
    </border>
  </borders>
  <cellStyleXfs count="3">
    <xf numFmtId="0" fontId="0" fillId="0" borderId="0"/>
    <xf numFmtId="0" fontId="8" fillId="0" borderId="0" applyBorder="0" applyProtection="0"/>
    <xf numFmtId="0" fontId="6" fillId="2" borderId="0" applyBorder="0" applyProtection="0"/>
  </cellStyleXfs>
  <cellXfs count="73">
    <xf numFmtId="0" fontId="0" fillId="0" borderId="0" xfId="0"/>
    <xf numFmtId="0" fontId="0" fillId="0" borderId="0" xfId="0" applyBorder="1"/>
    <xf numFmtId="0" fontId="2" fillId="0" borderId="1" xfId="0" applyFont="1" applyBorder="1" applyAlignment="1" applyProtection="1"/>
    <xf numFmtId="0" fontId="2" fillId="0" borderId="2" xfId="0" applyFont="1" applyBorder="1" applyAlignment="1" applyProtection="1"/>
    <xf numFmtId="0" fontId="3" fillId="0" borderId="0" xfId="0" applyFont="1" applyBorder="1"/>
    <xf numFmtId="0" fontId="0" fillId="0" borderId="3" xfId="0" applyBorder="1"/>
    <xf numFmtId="0" fontId="0" fillId="0" borderId="0" xfId="0" applyBorder="1" applyAlignment="1">
      <alignment vertical="top"/>
    </xf>
    <xf numFmtId="0" fontId="4" fillId="0" borderId="0" xfId="0" applyFont="1" applyBorder="1" applyAlignment="1">
      <alignment horizontal="center" vertical="top" wrapText="1"/>
    </xf>
    <xf numFmtId="0" fontId="5" fillId="0" borderId="3"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xf numFmtId="0" fontId="0" fillId="0" borderId="0" xfId="0" applyBorder="1" applyAlignment="1">
      <alignment horizontal="center" wrapText="1"/>
    </xf>
    <xf numFmtId="0" fontId="0" fillId="0" borderId="3" xfId="0" applyBorder="1" applyAlignment="1">
      <alignment horizontal="center" wrapText="1"/>
    </xf>
    <xf numFmtId="0" fontId="6" fillId="2" borderId="0" xfId="2" applyFont="1" applyBorder="1" applyAlignment="1" applyProtection="1">
      <alignment horizontal="center" vertical="center" wrapText="1"/>
    </xf>
    <xf numFmtId="0" fontId="6" fillId="2" borderId="3" xfId="2" applyFont="1" applyBorder="1" applyAlignment="1" applyProtection="1">
      <alignment horizont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Border="1" applyAlignment="1">
      <alignment horizontal="center" vertical="center"/>
    </xf>
    <xf numFmtId="0" fontId="7" fillId="0" borderId="0" xfId="0" applyFont="1" applyBorder="1" applyAlignment="1">
      <alignment horizontal="center" vertical="center" wrapText="1"/>
    </xf>
    <xf numFmtId="0" fontId="0" fillId="0" borderId="3" xfId="0" applyFont="1" applyBorder="1" applyAlignment="1">
      <alignment horizontal="center" vertical="center"/>
    </xf>
    <xf numFmtId="0" fontId="0" fillId="0" borderId="0" xfId="0" applyFont="1" applyBorder="1" applyAlignment="1">
      <alignment horizontal="center"/>
    </xf>
    <xf numFmtId="0" fontId="8" fillId="0" borderId="0" xfId="1" applyBorder="1" applyAlignment="1" applyProtection="1"/>
    <xf numFmtId="2" fontId="0" fillId="0" borderId="0" xfId="0" applyNumberFormat="1" applyBorder="1"/>
    <xf numFmtId="164" fontId="9" fillId="0" borderId="0" xfId="0" applyNumberFormat="1" applyFont="1" applyBorder="1"/>
    <xf numFmtId="164" fontId="0" fillId="0" borderId="0" xfId="0" applyNumberFormat="1" applyBorder="1"/>
    <xf numFmtId="164" fontId="9" fillId="0" borderId="3" xfId="0" applyNumberFormat="1" applyFont="1" applyBorder="1" applyAlignment="1">
      <alignment horizontal="right"/>
    </xf>
    <xf numFmtId="2" fontId="9" fillId="0" borderId="0" xfId="0" applyNumberFormat="1" applyFont="1" applyBorder="1"/>
    <xf numFmtId="164" fontId="0" fillId="0" borderId="3" xfId="0" applyNumberFormat="1" applyBorder="1"/>
    <xf numFmtId="164" fontId="0" fillId="0" borderId="0" xfId="0" applyNumberFormat="1" applyFont="1" applyBorder="1"/>
    <xf numFmtId="164" fontId="10" fillId="0" borderId="3" xfId="0" applyNumberFormat="1" applyFont="1" applyBorder="1"/>
    <xf numFmtId="164" fontId="10" fillId="0" borderId="0" xfId="0" applyNumberFormat="1" applyFont="1" applyBorder="1"/>
    <xf numFmtId="164" fontId="9" fillId="0" borderId="3" xfId="0" applyNumberFormat="1" applyFont="1" applyBorder="1"/>
    <xf numFmtId="2" fontId="0" fillId="0" borderId="0" xfId="0" applyNumberFormat="1" applyFont="1" applyBorder="1"/>
    <xf numFmtId="0" fontId="5" fillId="0" borderId="0" xfId="0" applyFont="1"/>
    <xf numFmtId="0" fontId="9" fillId="0" borderId="0" xfId="0" applyFont="1"/>
    <xf numFmtId="0" fontId="12" fillId="0" borderId="0" xfId="0" applyFont="1"/>
    <xf numFmtId="0" fontId="13" fillId="0" borderId="0" xfId="0" applyFont="1"/>
    <xf numFmtId="0" fontId="14" fillId="0" borderId="0" xfId="0" applyFont="1"/>
    <xf numFmtId="2" fontId="0" fillId="0" borderId="0" xfId="0" applyNumberFormat="1" applyFont="1"/>
    <xf numFmtId="0" fontId="15" fillId="0" borderId="0" xfId="0" applyFont="1"/>
    <xf numFmtId="0" fontId="6" fillId="2" borderId="0" xfId="2" applyFont="1" applyBorder="1" applyAlignment="1" applyProtection="1"/>
    <xf numFmtId="0" fontId="16" fillId="0" borderId="0" xfId="0" applyFont="1"/>
    <xf numFmtId="165" fontId="0" fillId="0" borderId="0" xfId="0" applyNumberFormat="1"/>
    <xf numFmtId="0" fontId="0" fillId="0" borderId="0" xfId="0" applyFont="1"/>
    <xf numFmtId="2" fontId="0" fillId="0" borderId="0" xfId="0" applyNumberFormat="1"/>
    <xf numFmtId="0" fontId="0" fillId="0" borderId="0" xfId="0" applyFont="1" applyAlignment="1">
      <alignment wrapText="1"/>
    </xf>
    <xf numFmtId="0" fontId="5" fillId="0" borderId="0" xfId="0" applyFont="1" applyAlignment="1">
      <alignment horizontal="left"/>
    </xf>
    <xf numFmtId="0" fontId="18" fillId="0" borderId="0" xfId="0" applyFont="1"/>
    <xf numFmtId="165" fontId="0" fillId="0" borderId="0" xfId="0" applyNumberFormat="1" applyFont="1"/>
    <xf numFmtId="0" fontId="12" fillId="3" borderId="0" xfId="0" applyFont="1" applyFill="1"/>
    <xf numFmtId="0" fontId="5" fillId="3" borderId="0" xfId="0" applyFont="1" applyFill="1"/>
    <xf numFmtId="0" fontId="0" fillId="3" borderId="0" xfId="0" applyFont="1" applyFill="1"/>
    <xf numFmtId="0" fontId="0" fillId="3" borderId="0" xfId="0" applyFill="1"/>
    <xf numFmtId="165" fontId="0" fillId="3" borderId="0" xfId="0" applyNumberFormat="1" applyFill="1"/>
    <xf numFmtId="0" fontId="4" fillId="0" borderId="0" xfId="0" applyFont="1"/>
    <xf numFmtId="164" fontId="0" fillId="0" borderId="0" xfId="0" applyNumberFormat="1"/>
    <xf numFmtId="0" fontId="0" fillId="0" borderId="0" xfId="0" applyFont="1" applyAlignment="1">
      <alignment horizontal="center"/>
    </xf>
    <xf numFmtId="3" fontId="0" fillId="0" borderId="0" xfId="0" applyNumberFormat="1"/>
    <xf numFmtId="37" fontId="0" fillId="0" borderId="0" xfId="0" applyNumberFormat="1"/>
    <xf numFmtId="166" fontId="0" fillId="0" borderId="0" xfId="0" applyNumberFormat="1"/>
    <xf numFmtId="0" fontId="13" fillId="0" borderId="0" xfId="0" applyFont="1" applyAlignment="1">
      <alignment horizontal="center" wrapText="1"/>
    </xf>
    <xf numFmtId="0" fontId="13" fillId="0" borderId="0" xfId="0" applyFont="1" applyAlignment="1">
      <alignment wrapText="1"/>
    </xf>
    <xf numFmtId="0" fontId="22" fillId="0" borderId="0" xfId="0" applyFont="1"/>
    <xf numFmtId="0" fontId="0" fillId="0" borderId="0" xfId="0" applyAlignment="1">
      <alignment horizontal="right"/>
    </xf>
    <xf numFmtId="2" fontId="0" fillId="0" borderId="0" xfId="0" applyNumberFormat="1" applyAlignment="1">
      <alignment horizontal="right"/>
    </xf>
    <xf numFmtId="4" fontId="0" fillId="0" borderId="0" xfId="0" applyNumberFormat="1" applyAlignment="1">
      <alignment horizontal="right"/>
    </xf>
    <xf numFmtId="0" fontId="1" fillId="0" borderId="0" xfId="0"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center"/>
    </xf>
    <xf numFmtId="0" fontId="0" fillId="0" borderId="0" xfId="0" applyBorder="1" applyAlignment="1">
      <alignment horizontal="center"/>
    </xf>
    <xf numFmtId="0" fontId="13" fillId="0" borderId="0" xfId="0" applyFont="1" applyBorder="1" applyAlignment="1">
      <alignment horizontal="center" wrapText="1"/>
    </xf>
    <xf numFmtId="0" fontId="20" fillId="3" borderId="0" xfId="0" applyFont="1" applyFill="1" applyBorder="1" applyAlignment="1">
      <alignment horizontal="center"/>
    </xf>
    <xf numFmtId="0" fontId="6" fillId="2" borderId="0" xfId="2" applyFont="1" applyBorder="1" applyAlignment="1" applyProtection="1">
      <alignment horizontal="center" vertical="center" wrapText="1"/>
    </xf>
  </cellXfs>
  <cellStyles count="3">
    <cellStyle name="Explanatory Text" xfId="2" builtinId="53" customBuiltin="1"/>
    <cellStyle name="Hyperlink" xfId="1" builtinId="8"/>
    <cellStyle name="Normal" xfId="0" builtinId="0"/>
  </cellStyles>
  <dxfs count="0"/>
  <tableStyles count="0" defaultTableStyle="TableStyleMedium2" defaultPivotStyle="PivotStyleLight16"/>
  <colors>
    <indexedColors>
      <rgbColor rgb="FF000000"/>
      <rgbColor rgb="FFE7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563C1"/>
      <rgbColor rgb="FFCCCCFF"/>
      <rgbColor rgb="FF000080"/>
      <rgbColor rgb="FFFF00FF"/>
      <rgbColor rgb="FFFFFF00"/>
      <rgbColor rgb="FF00FFFF"/>
      <rgbColor rgb="FF800080"/>
      <rgbColor rgb="FF9C0006"/>
      <rgbColor rgb="FF008080"/>
      <rgbColor rgb="FF0000FF"/>
      <rgbColor rgb="FF00B0F0"/>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F3F76"/>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1473200</xdr:colOff>
      <xdr:row>17</xdr:row>
      <xdr:rowOff>38100</xdr:rowOff>
    </xdr:to>
    <xdr:sp macro="" textlink="">
      <xdr:nvSpPr>
        <xdr:cNvPr id="1030" name="shapetype_202" hidden="1">
          <a:extLst>
            <a:ext uri="{FF2B5EF4-FFF2-40B4-BE49-F238E27FC236}">
              <a16:creationId xmlns:a16="http://schemas.microsoft.com/office/drawing/2014/main" id="{087F83C0-03EE-44B7-9EBD-DF0008F598F7}"/>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1473200</xdr:colOff>
      <xdr:row>17</xdr:row>
      <xdr:rowOff>38100</xdr:rowOff>
    </xdr:to>
    <xdr:sp macro="" textlink="">
      <xdr:nvSpPr>
        <xdr:cNvPr id="1028" name="shapetype_202" hidden="1">
          <a:extLst>
            <a:ext uri="{FF2B5EF4-FFF2-40B4-BE49-F238E27FC236}">
              <a16:creationId xmlns:a16="http://schemas.microsoft.com/office/drawing/2014/main" id="{05AB5E0D-C71B-4C24-884B-C9DB2D7EA420}"/>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1473200</xdr:colOff>
      <xdr:row>17</xdr:row>
      <xdr:rowOff>38100</xdr:rowOff>
    </xdr:to>
    <xdr:sp macro="" textlink="">
      <xdr:nvSpPr>
        <xdr:cNvPr id="1026" name="shapetype_202" hidden="1">
          <a:extLst>
            <a:ext uri="{FF2B5EF4-FFF2-40B4-BE49-F238E27FC236}">
              <a16:creationId xmlns:a16="http://schemas.microsoft.com/office/drawing/2014/main" id="{74627061-37F2-4513-AE30-1908DC0AB25F}"/>
            </a:ext>
          </a:extLst>
        </xdr:cNvPr>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quickstats.nass.usda.gov/results/50705405-3797-3A8C-88DE-285EE11B8851" TargetMode="External"/><Relationship Id="rId2" Type="http://schemas.openxmlformats.org/officeDocument/2006/relationships/hyperlink" Target="https://quickstats.nass.usda.gov/results/C57CA751-B131-3065-9F7C-E7DE08D92F87" TargetMode="External"/><Relationship Id="rId1" Type="http://schemas.openxmlformats.org/officeDocument/2006/relationships/hyperlink" Target="https://quickstats.nass.usda.gov/results/90C69DEC-38D6-31B4-9953-4C6EB5E82D79?pivot=short_desc" TargetMode="External"/><Relationship Id="rId5" Type="http://schemas.openxmlformats.org/officeDocument/2006/relationships/hyperlink" Target="https://quickstats.nass.usda.gov/" TargetMode="External"/><Relationship Id="rId4" Type="http://schemas.openxmlformats.org/officeDocument/2006/relationships/hyperlink" Target="https://quickstats.nass.usda.gov/results/1B9214A3-3272-3861-89E4-3109EA7737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67"/>
  <sheetViews>
    <sheetView showGridLines="0" zoomScaleNormal="100" workbookViewId="0">
      <pane xSplit="1" topLeftCell="B1" activePane="topRight" state="frozen"/>
      <selection pane="topRight" activeCell="D22" sqref="D22"/>
    </sheetView>
  </sheetViews>
  <sheetFormatPr defaultRowHeight="15.5"/>
  <cols>
    <col min="1" max="1" width="19.5" style="1"/>
    <col min="2" max="2" width="23.25" style="1"/>
    <col min="3" max="3" width="21.25" style="1"/>
    <col min="4" max="4" width="29.6640625" style="1"/>
    <col min="5" max="5" width="24.33203125" style="1"/>
    <col min="6" max="6" width="23.25" style="1"/>
    <col min="7" max="7" width="28.58203125" style="1"/>
    <col min="8" max="8" width="28.83203125" style="1"/>
    <col min="9" max="9" width="14.9140625" style="1"/>
    <col min="10" max="10" width="15.75" style="1"/>
    <col min="11" max="11" width="19.08203125" style="1"/>
    <col min="12" max="12" width="16.25" style="1"/>
    <col min="13" max="13" width="18.5" style="1"/>
    <col min="14" max="14" width="19.6640625" style="1"/>
    <col min="15" max="15" width="19" style="1"/>
    <col min="16" max="1025" width="11.33203125" style="1"/>
  </cols>
  <sheetData>
    <row r="1" spans="1:15" ht="23.5">
      <c r="A1" s="66" t="s">
        <v>0</v>
      </c>
      <c r="B1" s="66"/>
      <c r="C1" s="66"/>
      <c r="D1" s="66"/>
      <c r="E1" s="66"/>
      <c r="F1" s="66"/>
      <c r="G1" s="66"/>
      <c r="H1" s="66"/>
      <c r="I1" s="66"/>
      <c r="J1" s="66"/>
      <c r="K1" s="66"/>
      <c r="L1" s="66"/>
      <c r="M1" s="66"/>
      <c r="N1" s="66"/>
      <c r="O1" s="66"/>
    </row>
    <row r="2" spans="1:15" ht="26">
      <c r="A2" s="2" t="s">
        <v>1</v>
      </c>
      <c r="B2" s="3" t="s">
        <v>2</v>
      </c>
      <c r="C2" s="4">
        <f>VLOOKUP(B2,Crops!A1:B4,2,0)</f>
        <v>1</v>
      </c>
      <c r="D2"/>
      <c r="E2" s="5"/>
      <c r="F2"/>
      <c r="G2"/>
      <c r="H2"/>
      <c r="I2"/>
      <c r="J2"/>
      <c r="K2" s="5"/>
      <c r="L2"/>
      <c r="M2"/>
      <c r="N2"/>
      <c r="O2"/>
    </row>
    <row r="3" spans="1:15">
      <c r="A3"/>
      <c r="B3"/>
      <c r="C3"/>
      <c r="D3"/>
      <c r="E3" s="5"/>
      <c r="F3"/>
      <c r="G3"/>
      <c r="H3"/>
      <c r="I3"/>
      <c r="J3"/>
      <c r="K3" s="5"/>
      <c r="L3"/>
      <c r="M3"/>
      <c r="N3"/>
      <c r="O3"/>
    </row>
    <row r="4" spans="1:15" ht="52" customHeight="1">
      <c r="A4" s="6"/>
      <c r="B4" s="7" t="s">
        <v>3</v>
      </c>
      <c r="C4" s="7" t="s">
        <v>4</v>
      </c>
      <c r="D4" s="7" t="s">
        <v>5</v>
      </c>
      <c r="E4" s="8" t="s">
        <v>6</v>
      </c>
      <c r="F4" s="9" t="s">
        <v>7</v>
      </c>
      <c r="G4" s="9" t="s">
        <v>8</v>
      </c>
      <c r="H4" s="9" t="s">
        <v>9</v>
      </c>
      <c r="I4" s="9" t="s">
        <v>10</v>
      </c>
      <c r="J4" s="9" t="s">
        <v>10</v>
      </c>
      <c r="K4" s="8" t="s">
        <v>11</v>
      </c>
      <c r="L4" s="9" t="s">
        <v>12</v>
      </c>
      <c r="M4" s="9" t="s">
        <v>12</v>
      </c>
      <c r="N4" s="9" t="s">
        <v>11</v>
      </c>
      <c r="O4" s="9" t="s">
        <v>11</v>
      </c>
    </row>
    <row r="5" spans="1:15" ht="45" customHeight="1">
      <c r="A5" s="10" t="s">
        <v>13</v>
      </c>
      <c r="B5" s="11"/>
      <c r="C5" s="11"/>
      <c r="D5" s="11"/>
      <c r="E5" s="12"/>
      <c r="F5" s="11"/>
      <c r="G5" s="13" t="s">
        <v>14</v>
      </c>
      <c r="H5" s="13" t="s">
        <v>15</v>
      </c>
      <c r="I5" s="11"/>
      <c r="J5" s="11"/>
      <c r="K5" s="14" t="s">
        <v>16</v>
      </c>
      <c r="L5" s="11"/>
      <c r="M5" s="11"/>
      <c r="N5"/>
      <c r="O5"/>
    </row>
    <row r="6" spans="1:15" ht="46.5">
      <c r="A6" s="10" t="s">
        <v>17</v>
      </c>
      <c r="B6" s="15" t="s">
        <v>18</v>
      </c>
      <c r="C6" s="15" t="s">
        <v>19</v>
      </c>
      <c r="D6" s="15" t="s">
        <v>20</v>
      </c>
      <c r="E6" s="16" t="s">
        <v>21</v>
      </c>
      <c r="F6" s="15" t="s">
        <v>21</v>
      </c>
      <c r="G6" s="17"/>
      <c r="H6" s="17"/>
      <c r="I6" s="15" t="s">
        <v>19</v>
      </c>
      <c r="J6" s="15" t="s">
        <v>20</v>
      </c>
      <c r="K6" s="16" t="s">
        <v>22</v>
      </c>
      <c r="L6" s="15" t="s">
        <v>23</v>
      </c>
      <c r="M6" s="15" t="s">
        <v>24</v>
      </c>
      <c r="N6" s="15" t="s">
        <v>23</v>
      </c>
      <c r="O6" s="15" t="s">
        <v>24</v>
      </c>
    </row>
    <row r="7" spans="1:15" ht="37">
      <c r="A7" s="10" t="s">
        <v>25</v>
      </c>
      <c r="B7" s="18" t="s">
        <v>26</v>
      </c>
      <c r="C7" s="18" t="s">
        <v>27</v>
      </c>
      <c r="D7" s="18" t="s">
        <v>27</v>
      </c>
      <c r="E7" s="19" t="s">
        <v>27</v>
      </c>
      <c r="F7" s="17" t="s">
        <v>27</v>
      </c>
      <c r="G7" s="15" t="s">
        <v>28</v>
      </c>
      <c r="H7" s="15" t="s">
        <v>28</v>
      </c>
      <c r="I7" s="15" t="s">
        <v>27</v>
      </c>
      <c r="J7" s="15" t="s">
        <v>27</v>
      </c>
      <c r="K7" s="16" t="s">
        <v>27</v>
      </c>
      <c r="L7" s="15" t="s">
        <v>28</v>
      </c>
      <c r="M7" s="15" t="s">
        <v>28</v>
      </c>
      <c r="N7" s="15" t="s">
        <v>27</v>
      </c>
      <c r="O7" s="15" t="s">
        <v>27</v>
      </c>
    </row>
    <row r="8" spans="1:15" ht="77.5">
      <c r="A8" s="10" t="s">
        <v>29</v>
      </c>
      <c r="B8" s="17" t="s">
        <v>30</v>
      </c>
      <c r="C8" s="17" t="s">
        <v>31</v>
      </c>
      <c r="D8" s="17" t="s">
        <v>31</v>
      </c>
      <c r="E8" s="19" t="s">
        <v>30</v>
      </c>
      <c r="F8" s="17" t="s">
        <v>30</v>
      </c>
      <c r="G8" s="15" t="s">
        <v>32</v>
      </c>
      <c r="H8" s="15" t="s">
        <v>33</v>
      </c>
      <c r="I8" s="15" t="s">
        <v>34</v>
      </c>
      <c r="J8" s="15" t="s">
        <v>35</v>
      </c>
      <c r="K8" s="19" t="s">
        <v>30</v>
      </c>
      <c r="L8" s="15" t="s">
        <v>32</v>
      </c>
      <c r="M8" s="15" t="s">
        <v>32</v>
      </c>
      <c r="N8" s="15" t="s">
        <v>36</v>
      </c>
      <c r="O8" s="15" t="s">
        <v>37</v>
      </c>
    </row>
    <row r="9" spans="1:15" ht="50" customHeight="1">
      <c r="A9" s="10" t="s">
        <v>38</v>
      </c>
      <c r="B9" s="11" t="s">
        <v>39</v>
      </c>
      <c r="C9" s="20" t="s">
        <v>40</v>
      </c>
      <c r="D9" s="20" t="s">
        <v>40</v>
      </c>
      <c r="E9" s="12" t="s">
        <v>41</v>
      </c>
      <c r="F9" s="11" t="s">
        <v>41</v>
      </c>
      <c r="G9" s="11" t="s">
        <v>42</v>
      </c>
      <c r="H9" s="11" t="s">
        <v>43</v>
      </c>
      <c r="I9" s="20" t="s">
        <v>40</v>
      </c>
      <c r="J9" s="20" t="s">
        <v>40</v>
      </c>
      <c r="K9" s="12" t="s">
        <v>44</v>
      </c>
      <c r="L9" s="11" t="s">
        <v>45</v>
      </c>
      <c r="M9" s="11" t="s">
        <v>45</v>
      </c>
      <c r="N9" s="20" t="s">
        <v>40</v>
      </c>
      <c r="O9" s="11" t="s">
        <v>46</v>
      </c>
    </row>
    <row r="10" spans="1:15">
      <c r="A10"/>
      <c r="B10" s="21"/>
      <c r="C10"/>
      <c r="D10"/>
      <c r="E10" s="5"/>
      <c r="F10"/>
      <c r="G10"/>
      <c r="H10" s="22"/>
      <c r="I10"/>
      <c r="J10"/>
      <c r="K10" s="5"/>
      <c r="L10"/>
      <c r="M10"/>
      <c r="N10"/>
      <c r="O10"/>
    </row>
    <row r="11" spans="1:15">
      <c r="A11" s="10" t="s">
        <v>47</v>
      </c>
      <c r="B11" s="21"/>
      <c r="C11"/>
      <c r="D11"/>
      <c r="E11" s="5"/>
      <c r="F11"/>
      <c r="G11"/>
      <c r="H11" s="22"/>
      <c r="I11"/>
      <c r="J11"/>
      <c r="K11" s="5"/>
      <c r="L11"/>
      <c r="M11"/>
      <c r="N11"/>
      <c r="O11"/>
    </row>
    <row r="12" spans="1:15">
      <c r="A12" s="1">
        <v>1960</v>
      </c>
      <c r="B12" s="23">
        <f ca="1">OFFSET(Yields!B3,0,$C$2-1)</f>
        <v>54.7</v>
      </c>
      <c r="C12" s="24"/>
      <c r="D12" s="24"/>
      <c r="E12" s="25">
        <v>3.57</v>
      </c>
      <c r="F12" s="23">
        <v>27</v>
      </c>
      <c r="G12" s="23">
        <f ca="1">OFFSET('Private seed shares'!N22,0,$C$2-1)</f>
        <v>0.52400000000000002</v>
      </c>
      <c r="H12" s="26"/>
      <c r="I12" s="24">
        <f ca="1">G12*E12</f>
        <v>1.8706799999999999</v>
      </c>
      <c r="J12" s="24"/>
      <c r="K12" s="27"/>
      <c r="L12" s="24"/>
      <c r="M12" s="24"/>
      <c r="N12" s="24"/>
      <c r="O12" s="24">
        <f ca="1">OFFSET('New Huffman figures'!B7,0,C$2-1)</f>
        <v>4.0525368589891899</v>
      </c>
    </row>
    <row r="13" spans="1:15">
      <c r="A13" s="1">
        <v>1961</v>
      </c>
      <c r="B13" s="23">
        <f ca="1">OFFSET(Yields!B4,0,$C$2-1)</f>
        <v>62.4</v>
      </c>
      <c r="C13" s="24"/>
      <c r="D13" s="24"/>
      <c r="E13" s="25">
        <v>3.9215864609939302</v>
      </c>
      <c r="F13" s="23">
        <v>38</v>
      </c>
      <c r="G13" s="23"/>
      <c r="H13" s="26"/>
      <c r="I13" s="24"/>
      <c r="J13" s="24"/>
      <c r="K13" s="27"/>
      <c r="L13" s="24"/>
      <c r="M13" s="24"/>
      <c r="N13" s="24"/>
      <c r="O13" s="24">
        <f ca="1">OFFSET('New Huffman figures'!B8,0,C$2-1)</f>
        <v>4.3088327812568803</v>
      </c>
    </row>
    <row r="14" spans="1:15">
      <c r="A14" s="1">
        <v>1962</v>
      </c>
      <c r="B14" s="23">
        <f ca="1">OFFSET(Yields!B5,0,$C$2-1)</f>
        <v>64.7</v>
      </c>
      <c r="C14" s="24"/>
      <c r="D14" s="24"/>
      <c r="E14" s="25">
        <v>4.3077984232635496</v>
      </c>
      <c r="F14" s="23">
        <v>42</v>
      </c>
      <c r="G14" s="23"/>
      <c r="H14" s="26"/>
      <c r="I14" s="24"/>
      <c r="J14" s="24"/>
      <c r="K14" s="27"/>
      <c r="L14" s="24"/>
      <c r="M14" s="24"/>
      <c r="N14" s="24"/>
      <c r="O14" s="24">
        <f ca="1">OFFSET('New Huffman figures'!B9,0,C$2-1)</f>
        <v>4.6727479067745596</v>
      </c>
    </row>
    <row r="15" spans="1:15">
      <c r="A15" s="1">
        <v>1963</v>
      </c>
      <c r="B15" s="23">
        <f ca="1">OFFSET(Yields!B6,0,$C$2-1)</f>
        <v>67.900000000000006</v>
      </c>
      <c r="C15" s="24"/>
      <c r="D15" s="24"/>
      <c r="E15" s="25">
        <v>4.7320459309135297</v>
      </c>
      <c r="F15" s="23">
        <v>45</v>
      </c>
      <c r="G15" s="23"/>
      <c r="H15" s="26"/>
      <c r="I15" s="24"/>
      <c r="J15" s="24"/>
      <c r="K15" s="27"/>
      <c r="L15" s="24"/>
      <c r="M15" s="24"/>
      <c r="N15" s="24"/>
      <c r="O15" s="24">
        <f ca="1">OFFSET('New Huffman figures'!B10,0,C$2-1)</f>
        <v>4.9979411408123999</v>
      </c>
    </row>
    <row r="16" spans="1:15">
      <c r="A16" s="1">
        <v>1964</v>
      </c>
      <c r="B16" s="23">
        <f ca="1">OFFSET(Yields!B7,0,$C$2-1)</f>
        <v>62.9</v>
      </c>
      <c r="C16" s="24"/>
      <c r="D16" s="24"/>
      <c r="E16" s="25">
        <v>5.1980748614767203</v>
      </c>
      <c r="F16" s="23">
        <v>48</v>
      </c>
      <c r="G16" s="23"/>
      <c r="H16" s="26"/>
      <c r="I16" s="24"/>
      <c r="J16" s="24"/>
      <c r="K16" s="27"/>
      <c r="L16" s="24"/>
      <c r="M16" s="24"/>
      <c r="N16" s="24"/>
      <c r="O16" s="24">
        <f ca="1">OFFSET('New Huffman figures'!B11,0,C$2-1)</f>
        <v>5.5886652472924396</v>
      </c>
    </row>
    <row r="17" spans="1:15">
      <c r="A17" s="1">
        <v>1965</v>
      </c>
      <c r="B17" s="23">
        <f ca="1">OFFSET(Yields!B8,0,$C$2-1)</f>
        <v>74.099999999999994</v>
      </c>
      <c r="C17" s="24"/>
      <c r="D17" s="24"/>
      <c r="E17" s="25">
        <v>5.71</v>
      </c>
      <c r="F17" s="23">
        <v>64</v>
      </c>
      <c r="G17" s="23">
        <f ca="1">OFFSET('Private seed shares'!N27,0,$C$2-1)</f>
        <v>0.47499999999999998</v>
      </c>
      <c r="H17" s="26"/>
      <c r="I17" s="24">
        <f ca="1">G17*E17</f>
        <v>2.71225</v>
      </c>
      <c r="J17" s="24"/>
      <c r="K17" s="27"/>
      <c r="L17" s="24"/>
      <c r="M17" s="24"/>
      <c r="N17" s="24"/>
      <c r="O17" s="24">
        <f ca="1">OFFSET('New Huffman figures'!B12,0,C$2-1)</f>
        <v>6.0835107158115598</v>
      </c>
    </row>
    <row r="18" spans="1:15">
      <c r="A18" s="1">
        <v>1966</v>
      </c>
      <c r="B18" s="23">
        <f ca="1">OFFSET(Yields!B9,0,$C$2-1)</f>
        <v>73.099999999999994</v>
      </c>
      <c r="C18" s="24"/>
      <c r="D18" s="24"/>
      <c r="E18" s="25">
        <v>6.5440660637555004</v>
      </c>
      <c r="F18" s="23">
        <v>77</v>
      </c>
      <c r="G18" s="23"/>
      <c r="H18" s="26"/>
      <c r="I18" s="24"/>
      <c r="J18" s="24"/>
      <c r="K18" s="27"/>
      <c r="L18" s="24"/>
      <c r="M18" s="24"/>
      <c r="N18" s="24"/>
      <c r="O18" s="24">
        <f ca="1">OFFSET('New Huffman figures'!B13,0,C$2-1)</f>
        <v>6.7930739662951201</v>
      </c>
    </row>
    <row r="19" spans="1:15">
      <c r="A19" s="1">
        <v>1967</v>
      </c>
      <c r="B19" s="23">
        <f ca="1">OFFSET(Yields!B10,0,$C$2-1)</f>
        <v>80.099999999999994</v>
      </c>
      <c r="C19" s="24"/>
      <c r="D19" s="24"/>
      <c r="E19" s="25">
        <v>7.4999650870046199</v>
      </c>
      <c r="F19" s="23">
        <v>92</v>
      </c>
      <c r="G19" s="23"/>
      <c r="H19" s="26"/>
      <c r="I19" s="24"/>
      <c r="J19" s="24"/>
      <c r="K19" s="27"/>
      <c r="L19" s="24"/>
      <c r="M19" s="24"/>
      <c r="N19" s="24"/>
      <c r="O19" s="24">
        <f ca="1">OFFSET('New Huffman figures'!B14,0,C$2-1)</f>
        <v>7.4069195054022003</v>
      </c>
    </row>
    <row r="20" spans="1:15">
      <c r="A20" s="1">
        <v>1968</v>
      </c>
      <c r="B20" s="23">
        <f ca="1">OFFSET(Yields!B11,0,$C$2-1)</f>
        <v>79.5</v>
      </c>
      <c r="C20" s="24"/>
      <c r="D20" s="24"/>
      <c r="E20" s="25">
        <v>8.5954933459226002</v>
      </c>
      <c r="F20" s="23">
        <v>99</v>
      </c>
      <c r="G20" s="23"/>
      <c r="H20" s="26"/>
      <c r="I20" s="24"/>
      <c r="J20" s="24"/>
      <c r="K20" s="27"/>
      <c r="L20" s="24"/>
      <c r="M20" s="24"/>
      <c r="N20" s="24"/>
      <c r="O20" s="24">
        <f ca="1">OFFSET('New Huffman figures'!B15,0,C$2-1)</f>
        <v>7.4681782445139602</v>
      </c>
    </row>
    <row r="21" spans="1:15">
      <c r="A21" s="1">
        <v>1969</v>
      </c>
      <c r="B21" s="23">
        <f ca="1">OFFSET(Yields!B12,0,$C$2-1)</f>
        <v>85.9</v>
      </c>
      <c r="C21" s="24">
        <f ca="1">I21+N21</f>
        <v>7.156240189535052</v>
      </c>
      <c r="D21" s="24">
        <f ca="1">J21+O21</f>
        <v>39.184469397357567</v>
      </c>
      <c r="E21" s="25">
        <v>9.8510466385793798</v>
      </c>
      <c r="F21" s="23">
        <v>104</v>
      </c>
      <c r="G21" s="28">
        <f ca="1">G17+(4/5)*(G22-G17)</f>
        <v>0.443</v>
      </c>
      <c r="H21" s="26">
        <f ca="1">OFFSET('Private protection shares'!S14,0,$C$2-1)</f>
        <v>0.26137944926345685</v>
      </c>
      <c r="I21" s="24">
        <f ca="1">G21*E21</f>
        <v>4.3640136608906657</v>
      </c>
      <c r="J21" s="24">
        <f ca="1">I21+(H21*F21)</f>
        <v>31.547476384290178</v>
      </c>
      <c r="K21" s="29">
        <f ca="1">OFFSET('Public R&amp;D'!M16,0,C$2-1)</f>
        <v>7.6709520017702921</v>
      </c>
      <c r="L21" s="30">
        <f ca="1">OFFSET('Public crop shares'!N4,0,C$2-1)</f>
        <v>0.36399999999999999</v>
      </c>
      <c r="M21" s="30">
        <f ca="1">OFFSET('Public crop shares'!N4,0,C$2-1)+OFFSET('Public crop shares'!S4,0,C$2-1)</f>
        <v>0.64999999999999991</v>
      </c>
      <c r="N21" s="24">
        <f ca="1">L21*K21</f>
        <v>2.7922265286443864</v>
      </c>
      <c r="O21" s="24">
        <f ca="1">OFFSET('New Huffman figures'!B16,0,C$2-1)</f>
        <v>7.6369930130673902</v>
      </c>
    </row>
    <row r="22" spans="1:15">
      <c r="A22" s="1">
        <v>1970</v>
      </c>
      <c r="B22" s="23">
        <f ca="1">OFFSET(Yields!B13,0,$C$2-1)</f>
        <v>72.400000000000006</v>
      </c>
      <c r="C22" s="24"/>
      <c r="D22" s="24"/>
      <c r="E22" s="25">
        <v>11.29</v>
      </c>
      <c r="F22" s="23">
        <v>126</v>
      </c>
      <c r="G22" s="23">
        <f ca="1">OFFSET('Private seed shares'!N32,0,$C$2-1)</f>
        <v>0.435</v>
      </c>
      <c r="H22" s="26"/>
      <c r="I22" s="24">
        <f ca="1">G22*E22</f>
        <v>4.9111499999999992</v>
      </c>
      <c r="J22" s="24"/>
      <c r="K22" s="29"/>
      <c r="L22" s="30"/>
      <c r="M22" s="30"/>
      <c r="N22" s="24"/>
      <c r="O22" s="24">
        <f ca="1">OFFSET('New Huffman figures'!B17,0,C$2-1)</f>
        <v>7.3617498141241304</v>
      </c>
    </row>
    <row r="23" spans="1:15">
      <c r="A23" s="1">
        <v>1971</v>
      </c>
      <c r="B23" s="23">
        <f ca="1">OFFSET(Yields!B14,0,$C$2-1)</f>
        <v>88.1</v>
      </c>
      <c r="C23" s="24"/>
      <c r="D23" s="24"/>
      <c r="E23" s="25">
        <v>13.1443338331066</v>
      </c>
      <c r="F23" s="23">
        <v>130</v>
      </c>
      <c r="G23" s="23"/>
      <c r="H23" s="26"/>
      <c r="I23" s="24"/>
      <c r="J23" s="24"/>
      <c r="K23" s="29"/>
      <c r="L23" s="30"/>
      <c r="M23" s="30"/>
      <c r="N23" s="24"/>
      <c r="O23" s="24">
        <f ca="1">OFFSET('New Huffman figures'!B18,0,C$2-1)</f>
        <v>8.1786310339830308</v>
      </c>
    </row>
    <row r="24" spans="1:15">
      <c r="A24" s="1">
        <v>1972</v>
      </c>
      <c r="B24" s="23">
        <f ca="1">OFFSET(Yields!B15,0,$C$2-1)</f>
        <v>97</v>
      </c>
      <c r="C24" s="24"/>
      <c r="D24" s="24"/>
      <c r="E24" s="25">
        <v>15.303234004973501</v>
      </c>
      <c r="F24" s="23">
        <v>108</v>
      </c>
      <c r="G24" s="23"/>
      <c r="H24" s="26"/>
      <c r="I24" s="24"/>
      <c r="J24" s="24"/>
      <c r="K24" s="29"/>
      <c r="L24" s="30"/>
      <c r="M24" s="30"/>
      <c r="N24" s="24"/>
      <c r="O24" s="24">
        <f ca="1">OFFSET('New Huffman figures'!B19,0,C$2-1)</f>
        <v>8.6806043156844002</v>
      </c>
    </row>
    <row r="25" spans="1:15">
      <c r="A25" s="1">
        <v>1973</v>
      </c>
      <c r="B25" s="23">
        <f ca="1">OFFSET(Yields!B16,0,$C$2-1)</f>
        <v>91.3</v>
      </c>
      <c r="C25" s="24"/>
      <c r="D25" s="24"/>
      <c r="E25" s="25">
        <v>17.816724223872502</v>
      </c>
      <c r="F25" s="23">
        <v>114</v>
      </c>
      <c r="G25" s="23"/>
      <c r="H25" s="26"/>
      <c r="I25" s="24"/>
      <c r="J25" s="24"/>
      <c r="K25" s="29"/>
      <c r="L25" s="30"/>
      <c r="M25" s="30"/>
      <c r="N25" s="24"/>
      <c r="O25" s="24">
        <f ca="1">OFFSET('New Huffman figures'!B20,0,C$2-1)</f>
        <v>8.9365814562051806</v>
      </c>
    </row>
    <row r="26" spans="1:15">
      <c r="A26" s="1">
        <v>1974</v>
      </c>
      <c r="B26" s="23">
        <f ca="1">OFFSET(Yields!B17,0,$C$2-1)</f>
        <v>71.900000000000006</v>
      </c>
      <c r="C26" s="24"/>
      <c r="D26" s="24"/>
      <c r="E26" s="25">
        <v>20.743044376525798</v>
      </c>
      <c r="F26" s="23">
        <v>137</v>
      </c>
      <c r="G26" s="23"/>
      <c r="H26" s="26"/>
      <c r="I26" s="24"/>
      <c r="J26" s="24"/>
      <c r="K26" s="29"/>
      <c r="L26" s="30"/>
      <c r="M26" s="30"/>
      <c r="N26" s="24"/>
      <c r="O26" s="24">
        <f ca="1">OFFSET('New Huffman figures'!B21,0,C$2-1)</f>
        <v>9.9680954498563192</v>
      </c>
    </row>
    <row r="27" spans="1:15">
      <c r="A27" s="1">
        <v>1975</v>
      </c>
      <c r="B27" s="23">
        <f ca="1">OFFSET(Yields!B18,0,$C$2-1)</f>
        <v>86.4</v>
      </c>
      <c r="C27" s="24"/>
      <c r="D27" s="24"/>
      <c r="E27" s="25">
        <v>24.15</v>
      </c>
      <c r="F27" s="23">
        <v>176</v>
      </c>
      <c r="G27" s="23">
        <f ca="1">OFFSET('Private seed shares'!N37,0,$C$2-1)</f>
        <v>0.42299999999999999</v>
      </c>
      <c r="H27" s="26"/>
      <c r="I27" s="24">
        <f ca="1">G27*E27</f>
        <v>10.215449999999999</v>
      </c>
      <c r="J27" s="24"/>
      <c r="K27" s="29"/>
      <c r="L27" s="30"/>
      <c r="M27" s="30"/>
      <c r="N27" s="24"/>
      <c r="O27" s="24">
        <f ca="1">OFFSET('New Huffman figures'!B22,0,C$2-1)</f>
        <v>11.3205971784376</v>
      </c>
    </row>
    <row r="28" spans="1:15">
      <c r="A28" s="1">
        <v>1976</v>
      </c>
      <c r="B28" s="23">
        <f ca="1">OFFSET(Yields!B19,0,$C$2-1)</f>
        <v>88</v>
      </c>
      <c r="C28" s="24"/>
      <c r="D28" s="24"/>
      <c r="E28" s="25">
        <v>27.836631767057501</v>
      </c>
      <c r="F28" s="23">
        <v>205</v>
      </c>
      <c r="G28" s="23"/>
      <c r="H28" s="26"/>
      <c r="I28" s="24"/>
      <c r="J28" s="24"/>
      <c r="K28" s="29"/>
      <c r="L28" s="30"/>
      <c r="M28" s="30"/>
      <c r="N28" s="24"/>
      <c r="O28" s="24">
        <f ca="1">OFFSET('New Huffman figures'!B23,0,C$2-1)</f>
        <v>13.4350521635138</v>
      </c>
    </row>
    <row r="29" spans="1:15">
      <c r="A29" s="1">
        <v>1977</v>
      </c>
      <c r="B29" s="23">
        <f ca="1">OFFSET(Yields!B20,0,$C$2-1)</f>
        <v>90.8</v>
      </c>
      <c r="C29" s="24"/>
      <c r="D29" s="24"/>
      <c r="E29" s="25">
        <v>32.086048369969099</v>
      </c>
      <c r="F29" s="23">
        <v>236</v>
      </c>
      <c r="G29" s="23"/>
      <c r="H29" s="26"/>
      <c r="I29" s="24"/>
      <c r="J29" s="24"/>
      <c r="K29" s="29"/>
      <c r="L29" s="30"/>
      <c r="M29" s="30"/>
      <c r="N29" s="24"/>
      <c r="O29" s="24">
        <f ca="1">OFFSET('New Huffman figures'!B24,0,C$2-1)</f>
        <v>14.663166767616101</v>
      </c>
    </row>
    <row r="30" spans="1:15">
      <c r="A30" s="1">
        <v>1978</v>
      </c>
      <c r="B30" s="23">
        <f ca="1">OFFSET(Yields!B21,0,$C$2-1)</f>
        <v>101</v>
      </c>
      <c r="C30" s="24"/>
      <c r="D30" s="24"/>
      <c r="E30" s="25">
        <v>36.984162042850002</v>
      </c>
      <c r="F30" s="23">
        <v>264</v>
      </c>
      <c r="G30" s="23"/>
      <c r="H30" s="26"/>
      <c r="I30" s="24"/>
      <c r="J30" s="24"/>
      <c r="K30" s="29"/>
      <c r="L30" s="30"/>
      <c r="M30" s="30"/>
      <c r="N30" s="24"/>
      <c r="O30" s="24">
        <f ca="1">OFFSET('New Huffman figures'!B25,0,C$2-1)</f>
        <v>16.758720006909101</v>
      </c>
    </row>
    <row r="31" spans="1:15">
      <c r="A31" s="1">
        <v>1979</v>
      </c>
      <c r="B31" s="23">
        <f ca="1">OFFSET(Yields!B22,0,$C$2-1)</f>
        <v>109.5</v>
      </c>
      <c r="C31" s="24"/>
      <c r="D31" s="24"/>
      <c r="E31" s="25">
        <v>42.63</v>
      </c>
      <c r="F31" s="23">
        <v>292</v>
      </c>
      <c r="G31" s="23">
        <f ca="1">OFFSET('Private seed shares'!N41,0,$C$2-1)</f>
        <v>0.46300000000000002</v>
      </c>
      <c r="H31" s="26"/>
      <c r="I31" s="24">
        <f ca="1">G31*E31</f>
        <v>19.737690000000001</v>
      </c>
      <c r="J31" s="24"/>
      <c r="K31" s="29"/>
      <c r="L31" s="30"/>
      <c r="M31" s="30"/>
      <c r="N31" s="24"/>
      <c r="O31" s="24">
        <f ca="1">OFFSET('New Huffman figures'!B26,0,C$2-1)</f>
        <v>19.5107998963664</v>
      </c>
    </row>
    <row r="32" spans="1:15">
      <c r="A32" s="1">
        <v>1980</v>
      </c>
      <c r="B32" s="23">
        <f ca="1">OFFSET(Yields!B23,0,$C$2-1)</f>
        <v>91</v>
      </c>
      <c r="C32" s="24"/>
      <c r="D32" s="24"/>
      <c r="E32" s="31">
        <v>59.343911531529798</v>
      </c>
      <c r="F32" s="23">
        <v>389.5</v>
      </c>
      <c r="G32" s="23"/>
      <c r="H32" s="26"/>
      <c r="I32" s="24"/>
      <c r="J32" s="24"/>
      <c r="K32" s="29"/>
      <c r="L32" s="30"/>
      <c r="M32" s="30"/>
      <c r="N32" s="24"/>
      <c r="O32" s="24">
        <f ca="1">OFFSET('New Huffman figures'!B27,0,C$2-1)</f>
        <v>22.361062014855001</v>
      </c>
    </row>
    <row r="33" spans="1:15">
      <c r="A33" s="1">
        <v>1981</v>
      </c>
      <c r="B33" s="23">
        <f ca="1">OFFSET(Yields!B24,0,$C$2-1)</f>
        <v>108.9</v>
      </c>
      <c r="C33" s="24"/>
      <c r="D33" s="24"/>
      <c r="E33" s="31">
        <v>82.610833588131399</v>
      </c>
      <c r="F33" s="23">
        <v>487</v>
      </c>
      <c r="G33" s="23"/>
      <c r="H33" s="26"/>
      <c r="I33" s="24"/>
      <c r="J33" s="24"/>
      <c r="K33" s="29"/>
      <c r="L33" s="30"/>
      <c r="M33" s="30"/>
      <c r="N33" s="24"/>
      <c r="O33" s="24">
        <f ca="1">OFFSET('New Huffman figures'!B28,0,C$2-1)</f>
        <v>25.151970594173399</v>
      </c>
    </row>
    <row r="34" spans="1:15">
      <c r="A34" s="1">
        <v>1982</v>
      </c>
      <c r="B34" s="23">
        <f ca="1">OFFSET(Yields!B25,0,$C$2-1)</f>
        <v>113.2</v>
      </c>
      <c r="C34" s="24"/>
      <c r="D34" s="24"/>
      <c r="E34" s="25">
        <v>115</v>
      </c>
      <c r="F34" s="23">
        <v>537</v>
      </c>
      <c r="G34" s="23">
        <f ca="1">OFFSET('Private seed shares'!N44,0,$C$2-1)</f>
        <v>0.36380000000000001</v>
      </c>
      <c r="H34" s="26"/>
      <c r="I34" s="24">
        <f ca="1">G34*E34</f>
        <v>41.837000000000003</v>
      </c>
      <c r="J34" s="24"/>
      <c r="K34" s="29"/>
      <c r="L34" s="30"/>
      <c r="M34" s="30"/>
      <c r="N34" s="24"/>
      <c r="O34" s="24">
        <f ca="1">OFFSET('New Huffman figures'!B29,0,C$2-1)</f>
        <v>27.1713005186981</v>
      </c>
    </row>
    <row r="35" spans="1:15">
      <c r="A35" s="1">
        <v>1983</v>
      </c>
      <c r="B35" s="23">
        <f ca="1">OFFSET(Yields!B26,0,$C$2-1)</f>
        <v>81.099999999999994</v>
      </c>
      <c r="C35" s="24"/>
      <c r="D35" s="24"/>
      <c r="E35" s="25">
        <v>130.04929203226101</v>
      </c>
      <c r="F35" s="23">
        <v>587</v>
      </c>
      <c r="G35" s="23"/>
      <c r="H35" s="26"/>
      <c r="I35" s="24"/>
      <c r="J35" s="24"/>
      <c r="K35" s="29"/>
      <c r="L35" s="30"/>
      <c r="M35" s="30"/>
      <c r="N35" s="24"/>
      <c r="O35" s="24">
        <f ca="1">OFFSET('New Huffman figures'!B30,0,C$2-1)</f>
        <v>30.010295530807898</v>
      </c>
    </row>
    <row r="36" spans="1:15">
      <c r="A36" s="1">
        <v>1984</v>
      </c>
      <c r="B36" s="23">
        <f ca="1">OFFSET(Yields!B27,0,$C$2-1)</f>
        <v>106.7</v>
      </c>
      <c r="C36" s="24">
        <f ca="1">I36+N36</f>
        <v>65.120726905774873</v>
      </c>
      <c r="D36" s="24">
        <f ca="1">J36+O36</f>
        <v>196.83615139446326</v>
      </c>
      <c r="E36" s="25">
        <v>147.06798572254101</v>
      </c>
      <c r="F36" s="23">
        <v>509.5</v>
      </c>
      <c r="G36" s="28">
        <f ca="1">G34+(2/7)*(G41-G34)</f>
        <v>0.35920000000000002</v>
      </c>
      <c r="H36" s="26">
        <f ca="1">OFFSET('Private protection shares'!S15,0,$C$2-1)</f>
        <v>0.2219124376308666</v>
      </c>
      <c r="I36" s="24">
        <f ca="1">G36*E36</f>
        <v>52.826820471536735</v>
      </c>
      <c r="J36" s="24">
        <f ca="1">I36+(H36*F36)</f>
        <v>165.89120744446325</v>
      </c>
      <c r="K36" s="29">
        <f ca="1">OFFSET('Public R&amp;D'!M31,0,C$2-1)</f>
        <v>28.261853871811809</v>
      </c>
      <c r="L36" s="30">
        <f ca="1">OFFSET('Public crop shares'!N5,0,C$2-1)</f>
        <v>0.435</v>
      </c>
      <c r="M36" s="30">
        <f ca="1">OFFSET('Public crop shares'!N5,0,C$2-1)+OFFSET('Public crop shares'!S5,0,C$2-1)</f>
        <v>0.77300000000000002</v>
      </c>
      <c r="N36" s="24">
        <f ca="1">L36*K36</f>
        <v>12.293906434238137</v>
      </c>
      <c r="O36" s="24">
        <f ca="1">OFFSET('New Huffman figures'!B31,0,C$2-1)</f>
        <v>30.944943949999999</v>
      </c>
    </row>
    <row r="37" spans="1:15">
      <c r="A37" s="1">
        <v>1985</v>
      </c>
      <c r="B37" s="23">
        <f ca="1">OFFSET(Yields!B28,0,$C$2-1)</f>
        <v>118</v>
      </c>
      <c r="C37" s="24"/>
      <c r="D37" s="24"/>
      <c r="E37" s="25">
        <v>166.313803685452</v>
      </c>
      <c r="F37" s="23">
        <v>432</v>
      </c>
      <c r="G37" s="23"/>
      <c r="H37" s="26"/>
      <c r="I37" s="24"/>
      <c r="J37" s="24"/>
      <c r="K37" s="29"/>
      <c r="L37" s="30"/>
      <c r="M37" s="30"/>
      <c r="N37" s="24"/>
      <c r="O37" s="24">
        <f ca="1">OFFSET('New Huffman figures'!B32,0,C$2-1)</f>
        <v>33.671424300401597</v>
      </c>
    </row>
    <row r="38" spans="1:15">
      <c r="A38" s="1">
        <v>1986</v>
      </c>
      <c r="B38" s="23">
        <f ca="1">OFFSET(Yields!B29,0,$C$2-1)</f>
        <v>119.4</v>
      </c>
      <c r="C38" s="24"/>
      <c r="D38" s="24"/>
      <c r="E38" s="25">
        <v>188.078194995525</v>
      </c>
      <c r="F38" s="23">
        <v>415</v>
      </c>
      <c r="G38" s="23"/>
      <c r="H38" s="26"/>
      <c r="I38" s="24"/>
      <c r="J38" s="24"/>
      <c r="K38" s="29"/>
      <c r="L38" s="30"/>
      <c r="M38" s="30"/>
      <c r="N38" s="24"/>
      <c r="O38" s="24">
        <f ca="1">OFFSET('New Huffman figures'!B33,0,C$2-1)</f>
        <v>35.875191962358997</v>
      </c>
    </row>
    <row r="39" spans="1:15">
      <c r="A39" s="1">
        <v>1987</v>
      </c>
      <c r="B39" s="23">
        <f ca="1">OFFSET(Yields!B30,0,$C$2-1)</f>
        <v>119.8</v>
      </c>
      <c r="C39" s="24"/>
      <c r="D39" s="24"/>
      <c r="E39" s="25">
        <v>212.690748746726</v>
      </c>
      <c r="F39" s="23">
        <v>398</v>
      </c>
      <c r="G39" s="23"/>
      <c r="H39" s="26"/>
      <c r="I39" s="24"/>
      <c r="J39" s="24"/>
      <c r="K39" s="29"/>
      <c r="L39" s="30"/>
      <c r="M39" s="30"/>
      <c r="N39" s="24"/>
      <c r="O39" s="24">
        <f ca="1">OFFSET('New Huffman figures'!B34,0,C$2-1)</f>
        <v>37.822748442458803</v>
      </c>
    </row>
    <row r="40" spans="1:15">
      <c r="A40" s="1">
        <v>1988</v>
      </c>
      <c r="B40" s="23">
        <f ca="1">OFFSET(Yields!B31,0,$C$2-1)</f>
        <v>84.6</v>
      </c>
      <c r="C40" s="24"/>
      <c r="D40" s="24"/>
      <c r="E40" s="25">
        <v>240.52418518541899</v>
      </c>
      <c r="F40" s="23">
        <v>479.5</v>
      </c>
      <c r="G40" s="23"/>
      <c r="H40" s="26"/>
      <c r="I40" s="24"/>
      <c r="J40" s="24"/>
      <c r="K40" s="29"/>
      <c r="L40" s="30"/>
      <c r="M40" s="30"/>
      <c r="N40" s="24"/>
      <c r="O40" s="24">
        <f ca="1">OFFSET('New Huffman figures'!B35,0,C$2-1)</f>
        <v>40.683145050320498</v>
      </c>
    </row>
    <row r="41" spans="1:15">
      <c r="A41" s="1">
        <v>1989</v>
      </c>
      <c r="B41" s="23">
        <f ca="1">OFFSET(Yields!B32,0,$C$2-1)</f>
        <v>116.3</v>
      </c>
      <c r="C41" s="24"/>
      <c r="D41" s="24"/>
      <c r="E41" s="25">
        <v>272</v>
      </c>
      <c r="F41" s="23">
        <v>561</v>
      </c>
      <c r="G41" s="23">
        <f ca="1">OFFSET('Private seed shares'!N51,0,$C$2-1)</f>
        <v>0.34770000000000001</v>
      </c>
      <c r="H41" s="26"/>
      <c r="I41" s="24">
        <f ca="1">G41*E41</f>
        <v>94.574399999999997</v>
      </c>
      <c r="J41" s="24"/>
      <c r="K41" s="29"/>
      <c r="L41" s="30"/>
      <c r="M41" s="30"/>
      <c r="N41" s="24"/>
      <c r="O41" s="24">
        <f ca="1">OFFSET('New Huffman figures'!B36,0,C$2-1)</f>
        <v>43.155494944709801</v>
      </c>
    </row>
    <row r="42" spans="1:15">
      <c r="A42" s="1">
        <v>1990</v>
      </c>
      <c r="B42" s="23">
        <f ca="1">OFFSET(Yields!B33,0,$C$2-1)</f>
        <v>118.5</v>
      </c>
      <c r="C42" s="24"/>
      <c r="D42" s="24"/>
      <c r="E42" s="31">
        <v>358.16908541308197</v>
      </c>
      <c r="F42" s="23">
        <v>619.57311020100406</v>
      </c>
      <c r="G42" s="23"/>
      <c r="H42" s="26"/>
      <c r="I42" s="24"/>
      <c r="J42" s="24"/>
      <c r="K42" s="29"/>
      <c r="L42" s="30"/>
      <c r="M42" s="30"/>
      <c r="N42" s="24"/>
      <c r="O42" s="24">
        <f ca="1">OFFSET('New Huffman figures'!B37,0,C$2-1)</f>
        <v>46.484439869424698</v>
      </c>
    </row>
    <row r="43" spans="1:15">
      <c r="A43" s="1">
        <v>1991</v>
      </c>
      <c r="B43" s="23">
        <f ca="1">OFFSET(Yields!B34,0,$C$2-1)</f>
        <v>108.6</v>
      </c>
      <c r="C43" s="24"/>
      <c r="D43" s="24"/>
      <c r="E43" s="31">
        <v>376.516840852759</v>
      </c>
      <c r="F43" s="23">
        <v>625.54089360717205</v>
      </c>
      <c r="G43" s="23"/>
      <c r="H43" s="26"/>
      <c r="I43" s="24"/>
      <c r="J43" s="24"/>
      <c r="K43" s="29"/>
      <c r="L43" s="30"/>
      <c r="M43" s="30"/>
      <c r="N43" s="24"/>
      <c r="O43" s="24">
        <f ca="1">OFFSET('New Huffman figures'!B38,0,C$2-1)</f>
        <v>50.075292922213102</v>
      </c>
    </row>
    <row r="44" spans="1:15">
      <c r="A44" s="1">
        <v>1992</v>
      </c>
      <c r="B44" s="23">
        <f ca="1">OFFSET(Yields!B35,0,$C$2-1)</f>
        <v>131.5</v>
      </c>
      <c r="C44" s="24"/>
      <c r="D44" s="24"/>
      <c r="E44" s="31">
        <v>404.12912977406501</v>
      </c>
      <c r="F44" s="23">
        <v>659.05177365292298</v>
      </c>
      <c r="G44" s="23"/>
      <c r="H44" s="26"/>
      <c r="I44" s="24"/>
      <c r="J44" s="24"/>
      <c r="K44" s="29"/>
      <c r="L44" s="30"/>
      <c r="M44" s="30"/>
      <c r="N44" s="24"/>
      <c r="O44" s="24">
        <f ca="1">OFFSET('New Huffman figures'!B39,0,C$2-1)</f>
        <v>51.235261678068397</v>
      </c>
    </row>
    <row r="45" spans="1:15">
      <c r="A45" s="1">
        <v>1993</v>
      </c>
      <c r="B45" s="23">
        <f ca="1">OFFSET(Yields!B36,0,$C$2-1)</f>
        <v>100.7</v>
      </c>
      <c r="C45" s="24"/>
      <c r="D45" s="24"/>
      <c r="E45" s="31">
        <v>419.98288515570403</v>
      </c>
      <c r="F45" s="23">
        <v>682.58868634482303</v>
      </c>
      <c r="G45" s="23"/>
      <c r="H45" s="26"/>
      <c r="I45" s="24"/>
      <c r="J45" s="24"/>
      <c r="K45" s="29">
        <f ca="1">OFFSET('Public R&amp;D'!M40,0,C$2-1)</f>
        <v>92.123000000000005</v>
      </c>
      <c r="L45" s="28">
        <f ca="1">L36+(9/13)*(L49-L36)</f>
        <v>0.38376923076923075</v>
      </c>
      <c r="M45" s="28">
        <f ca="1">M36+(9/13)*(M49-M36)</f>
        <v>0.67815384615384611</v>
      </c>
      <c r="N45" s="24">
        <f t="shared" ref="N45:N66" ca="1" si="0">L45*K45</f>
        <v>35.353972846153845</v>
      </c>
      <c r="O45" s="24">
        <f ca="1">OFFSET('New Huffman figures'!B40,0,C$2-1)</f>
        <v>51.835618108128401</v>
      </c>
    </row>
    <row r="46" spans="1:15">
      <c r="A46" s="1">
        <v>1994</v>
      </c>
      <c r="B46" s="23">
        <f ca="1">OFFSET(Yields!B37,0,$C$2-1)</f>
        <v>138.6</v>
      </c>
      <c r="C46" s="24">
        <f t="shared" ref="C46:C61" ca="1" si="1">I46+N46</f>
        <v>182.99668231093102</v>
      </c>
      <c r="D46" s="24">
        <f t="shared" ref="D46:D61" ca="1" si="2">J46+O46</f>
        <v>367.56047598296186</v>
      </c>
      <c r="E46" s="31">
        <v>430.033585234859</v>
      </c>
      <c r="F46" s="23">
        <v>708.38690615200096</v>
      </c>
      <c r="G46" s="23">
        <f ca="1">OFFSET('Private seed shares'!N56,0,$C$2-1)</f>
        <v>0.34050000000000002</v>
      </c>
      <c r="H46" s="32">
        <f ca="1">H36+(10/13)*(H49-H36)</f>
        <v>0.23806664634531949</v>
      </c>
      <c r="I46" s="24">
        <f t="shared" ref="I46:I66" ca="1" si="3">G46*E46</f>
        <v>146.42643577246949</v>
      </c>
      <c r="J46" s="24">
        <f t="shared" ref="J46:J66" ca="1" si="4">I46+(H46*F46)</f>
        <v>315.06973083501293</v>
      </c>
      <c r="K46" s="29">
        <f ca="1">OFFSET('Public R&amp;D'!M41,0,C$2-1)</f>
        <v>96.727000000000004</v>
      </c>
      <c r="L46" s="28">
        <f ca="1">L36+(10/13)*(L49-L36)</f>
        <v>0.37807692307692309</v>
      </c>
      <c r="M46" s="28">
        <f ca="1">M36+(10/13)*(M49-M36)</f>
        <v>0.66761538461538461</v>
      </c>
      <c r="N46" s="24">
        <f t="shared" ca="1" si="0"/>
        <v>36.570246538461539</v>
      </c>
      <c r="O46" s="24">
        <f ca="1">OFFSET('New Huffman figures'!B41,0,C$2-1)</f>
        <v>52.4907451479489</v>
      </c>
    </row>
    <row r="47" spans="1:15">
      <c r="A47" s="1">
        <v>1995</v>
      </c>
      <c r="B47" s="23">
        <f ca="1">OFFSET(Yields!B38,0,$C$2-1)</f>
        <v>113.5</v>
      </c>
      <c r="C47" s="24">
        <f t="shared" ca="1" si="1"/>
        <v>217.62231796108904</v>
      </c>
      <c r="D47" s="24">
        <f t="shared" ca="1" si="2"/>
        <v>419.26886032269283</v>
      </c>
      <c r="E47" s="31">
        <v>497.08977758125599</v>
      </c>
      <c r="F47" s="23">
        <v>753.89251040573504</v>
      </c>
      <c r="G47" s="24">
        <f ca="1">G46+(1/7)*(G53-G46)</f>
        <v>0.3620692767904708</v>
      </c>
      <c r="H47" s="22">
        <f ca="1">H36+(11/13)*(H49-H36)</f>
        <v>0.23968206721676477</v>
      </c>
      <c r="I47" s="24">
        <f t="shared" ca="1" si="3"/>
        <v>179.98093626878133</v>
      </c>
      <c r="J47" s="24">
        <f t="shared" ca="1" si="4"/>
        <v>360.67545162206426</v>
      </c>
      <c r="K47" s="29">
        <f ca="1">OFFSET('Public R&amp;D'!M42,0,C$2-1)</f>
        <v>101.08199999999999</v>
      </c>
      <c r="L47" s="28">
        <f ca="1">L36+(11/13)*(L49-L36)</f>
        <v>0.37238461538461537</v>
      </c>
      <c r="M47" s="28">
        <f ca="1">M36+(11/13)*(M49-M36)</f>
        <v>0.65707692307692311</v>
      </c>
      <c r="N47" s="24">
        <f t="shared" ca="1" si="0"/>
        <v>37.641381692307689</v>
      </c>
      <c r="O47" s="24">
        <f ca="1">OFFSET('New Huffman figures'!B42,0,C$2-1)</f>
        <v>58.593408700628601</v>
      </c>
    </row>
    <row r="48" spans="1:15">
      <c r="A48" s="1">
        <v>1996</v>
      </c>
      <c r="B48" s="23">
        <f ca="1">OFFSET(Yields!B39,0,$C$2-1)</f>
        <v>127.1</v>
      </c>
      <c r="C48" s="24">
        <f t="shared" ca="1" si="1"/>
        <v>276.53750877436778</v>
      </c>
      <c r="D48" s="24">
        <f t="shared" ca="1" si="2"/>
        <v>492.85019308150981</v>
      </c>
      <c r="E48" s="31">
        <v>626.75570431312303</v>
      </c>
      <c r="F48" s="23">
        <v>834.51942822592298</v>
      </c>
      <c r="G48" s="24">
        <f ca="1">G46+(2/7)*(G53-G46)</f>
        <v>0.38363855358094157</v>
      </c>
      <c r="H48" s="22">
        <f ca="1">H36+(12/13)*(H49-H36)</f>
        <v>0.24129748808821005</v>
      </c>
      <c r="I48" s="24">
        <f t="shared" ca="1" si="3"/>
        <v>240.44765185129083</v>
      </c>
      <c r="J48" s="24">
        <f t="shared" ca="1" si="4"/>
        <v>441.8150936430153</v>
      </c>
      <c r="K48" s="29">
        <f ca="1">OFFSET('Public R&amp;D'!M43,0,C$2-1)</f>
        <v>98.42</v>
      </c>
      <c r="L48" s="28">
        <f ca="1">L36+(12/13)*(L49-L36)</f>
        <v>0.36669230769230765</v>
      </c>
      <c r="M48" s="28">
        <f ca="1">M36+(12/13)*(M49-M36)</f>
        <v>0.64653846153846151</v>
      </c>
      <c r="N48" s="24">
        <f t="shared" ca="1" si="0"/>
        <v>36.089856923076923</v>
      </c>
      <c r="O48" s="24">
        <f ca="1">OFFSET('New Huffman figures'!B43,0,C$2-1)</f>
        <v>51.035099438494498</v>
      </c>
    </row>
    <row r="49" spans="1:15">
      <c r="A49" s="1">
        <v>1997</v>
      </c>
      <c r="B49" s="23">
        <f ca="1">OFFSET(Yields!B40,0,$C$2-1)</f>
        <v>126.7</v>
      </c>
      <c r="C49" s="24">
        <f t="shared" ca="1" si="1"/>
        <v>346.3299428541207</v>
      </c>
      <c r="D49" s="24">
        <f t="shared" ca="1" si="2"/>
        <v>583.09580746363224</v>
      </c>
      <c r="E49" s="31">
        <v>767.078747143702</v>
      </c>
      <c r="F49" s="23">
        <v>901.48512986840103</v>
      </c>
      <c r="G49" s="24">
        <f ca="1">G46+(3/7)*(G53-G46)</f>
        <v>0.40520783037141234</v>
      </c>
      <c r="H49" s="26">
        <f ca="1">OFFSET('Private protection shares'!S16,0,$C$2-1)</f>
        <v>0.24291290895965534</v>
      </c>
      <c r="I49" s="24">
        <f t="shared" ca="1" si="3"/>
        <v>310.82631485412071</v>
      </c>
      <c r="J49" s="24">
        <f t="shared" ca="1" si="4"/>
        <v>529.80869013432664</v>
      </c>
      <c r="K49" s="29">
        <f ca="1">OFFSET('Public R&amp;D'!M44,0,C$2-1)</f>
        <v>98.347999999999999</v>
      </c>
      <c r="L49" s="30">
        <f ca="1">OFFSET('Public crop shares'!N6,0,C$2-1)</f>
        <v>0.36099999999999999</v>
      </c>
      <c r="M49" s="30">
        <f ca="1">OFFSET('Public crop shares'!N6,0,C$2-1)+OFFSET('Public crop shares'!S6,0,C$2-1)</f>
        <v>0.63600000000000001</v>
      </c>
      <c r="N49" s="24">
        <f t="shared" ca="1" si="0"/>
        <v>35.503627999999999</v>
      </c>
      <c r="O49" s="24">
        <f ca="1">OFFSET('New Huffman figures'!B44,0,C$2-1)</f>
        <v>53.287117329305602</v>
      </c>
    </row>
    <row r="50" spans="1:15">
      <c r="A50" s="1">
        <v>1998</v>
      </c>
      <c r="B50" s="23">
        <f ca="1">OFFSET(Yields!B41,0,$C$2-1)</f>
        <v>134.4</v>
      </c>
      <c r="C50" s="24">
        <f t="shared" ca="1" si="1"/>
        <v>435.90386360800881</v>
      </c>
      <c r="D50" s="24">
        <f t="shared" ca="1" si="2"/>
        <v>656.0427108423321</v>
      </c>
      <c r="E50" s="31">
        <v>942.08876685482699</v>
      </c>
      <c r="F50" s="23">
        <v>849.21756429402103</v>
      </c>
      <c r="G50" s="24">
        <f ca="1">G46+(4/7)*(G53-G46)</f>
        <v>0.42677710716188311</v>
      </c>
      <c r="H50" s="22">
        <f ca="1">H$49+(1/11)*(H$60-H$49)</f>
        <v>0.24907923257847284</v>
      </c>
      <c r="I50" s="24">
        <f t="shared" ca="1" si="3"/>
        <v>402.0619186080088</v>
      </c>
      <c r="J50" s="24">
        <f t="shared" ca="1" si="4"/>
        <v>613.58437781452346</v>
      </c>
      <c r="K50" s="29">
        <f ca="1">OFFSET('Public R&amp;D'!M45,0,C$2-1)</f>
        <v>93.745000000000005</v>
      </c>
      <c r="L50" s="28">
        <f t="shared" ref="L50:L66" ca="1" si="5">L49</f>
        <v>0.36099999999999999</v>
      </c>
      <c r="M50" s="28">
        <f t="shared" ref="M50:M66" ca="1" si="6">M49</f>
        <v>0.63600000000000001</v>
      </c>
      <c r="N50" s="24">
        <f t="shared" ca="1" si="0"/>
        <v>33.841945000000003</v>
      </c>
      <c r="O50" s="24">
        <f ca="1">OFFSET('New Huffman figures'!B45,0,C$2-1)</f>
        <v>42.4583330278086</v>
      </c>
    </row>
    <row r="51" spans="1:15">
      <c r="A51" s="1">
        <v>1999</v>
      </c>
      <c r="B51" s="23">
        <f ca="1">OFFSET(Yields!B42,0,$C$2-1)</f>
        <v>133.80000000000001</v>
      </c>
      <c r="C51" s="24">
        <f t="shared" ca="1" si="1"/>
        <v>473.07562345282543</v>
      </c>
      <c r="D51" s="24">
        <f t="shared" ca="1" si="2"/>
        <v>676.12602523136763</v>
      </c>
      <c r="E51" s="31">
        <v>974.19157170952406</v>
      </c>
      <c r="F51" s="23">
        <v>756.90287571437898</v>
      </c>
      <c r="G51" s="24">
        <f ca="1">G46+(5/7)*(G53-G46)</f>
        <v>0.44834638395235393</v>
      </c>
      <c r="H51" s="22">
        <f ca="1">H$49+(2/11)*(H$60-H$49)</f>
        <v>0.25524555619729034</v>
      </c>
      <c r="I51" s="24">
        <f t="shared" ca="1" si="3"/>
        <v>436.7752684528254</v>
      </c>
      <c r="J51" s="24">
        <f t="shared" ca="1" si="4"/>
        <v>629.97136395187056</v>
      </c>
      <c r="K51" s="29">
        <f ca="1">OFFSET('Public R&amp;D'!M46,0,C$2-1)</f>
        <v>100.55500000000001</v>
      </c>
      <c r="L51" s="28">
        <f t="shared" ca="1" si="5"/>
        <v>0.36099999999999999</v>
      </c>
      <c r="M51" s="28">
        <f t="shared" ca="1" si="6"/>
        <v>0.63600000000000001</v>
      </c>
      <c r="N51" s="24">
        <f t="shared" ca="1" si="0"/>
        <v>36.300355000000003</v>
      </c>
      <c r="O51" s="24">
        <f ca="1">OFFSET('New Huffman figures'!B46,0,C$2-1)</f>
        <v>46.154661279497098</v>
      </c>
    </row>
    <row r="52" spans="1:15">
      <c r="A52" s="1">
        <v>2000</v>
      </c>
      <c r="B52" s="23">
        <f ca="1">OFFSET(Yields!B43,0,$C$2-1)</f>
        <v>136.9</v>
      </c>
      <c r="C52" s="24">
        <f t="shared" ca="1" si="1"/>
        <v>520.08164391553225</v>
      </c>
      <c r="D52" s="24">
        <f t="shared" ca="1" si="2"/>
        <v>712.77484421749625</v>
      </c>
      <c r="E52" s="31">
        <v>1024.6030642061</v>
      </c>
      <c r="F52" s="23">
        <v>702.75342788080195</v>
      </c>
      <c r="G52" s="24">
        <f ca="1">G46+(6/7)*(G53-G46)</f>
        <v>0.46991566074282465</v>
      </c>
      <c r="H52" s="22">
        <f ca="1">H$49+(3/11)*(H$60-H$49)</f>
        <v>0.26141187981610781</v>
      </c>
      <c r="I52" s="24">
        <f t="shared" ca="1" si="3"/>
        <v>481.47702591553229</v>
      </c>
      <c r="J52" s="24">
        <f t="shared" ca="1" si="4"/>
        <v>665.1851205450663</v>
      </c>
      <c r="K52" s="29">
        <f ca="1">OFFSET('Public R&amp;D'!M47,0,C$2-1)</f>
        <v>106.938</v>
      </c>
      <c r="L52" s="28">
        <f t="shared" ca="1" si="5"/>
        <v>0.36099999999999999</v>
      </c>
      <c r="M52" s="28">
        <f t="shared" ca="1" si="6"/>
        <v>0.63600000000000001</v>
      </c>
      <c r="N52" s="24">
        <f t="shared" ca="1" si="0"/>
        <v>38.604618000000002</v>
      </c>
      <c r="O52" s="24">
        <f ca="1">OFFSET('New Huffman figures'!B47,0,C$2-1)</f>
        <v>47.589723672429997</v>
      </c>
    </row>
    <row r="53" spans="1:15">
      <c r="A53" s="1">
        <v>2001</v>
      </c>
      <c r="B53" s="23">
        <f ca="1">OFFSET(Yields!B44,0,$C$2-1)</f>
        <v>138.19999999999999</v>
      </c>
      <c r="C53" s="24">
        <f t="shared" ca="1" si="1"/>
        <v>515.76069728821187</v>
      </c>
      <c r="D53" s="24">
        <f t="shared" ca="1" si="2"/>
        <v>663.29951477772318</v>
      </c>
      <c r="E53" s="31">
        <v>968.33670158197003</v>
      </c>
      <c r="F53" s="23">
        <v>530.69427950000102</v>
      </c>
      <c r="G53" s="23">
        <f ca="1">OFFSET('Private seed shares'!N63,0,$C$2-1)</f>
        <v>0.49148493753329547</v>
      </c>
      <c r="H53" s="22">
        <f ca="1">H$49+(4/11)*(H$60-H$49)</f>
        <v>0.26757820343492528</v>
      </c>
      <c r="I53" s="24">
        <f t="shared" ca="1" si="3"/>
        <v>475.9229032882119</v>
      </c>
      <c r="J53" s="24">
        <f t="shared" ca="1" si="4"/>
        <v>617.92512517001433</v>
      </c>
      <c r="K53" s="29">
        <f ca="1">OFFSET('Public R&amp;D'!M48,0,C$2-1)</f>
        <v>110.354</v>
      </c>
      <c r="L53" s="28">
        <f t="shared" ca="1" si="5"/>
        <v>0.36099999999999999</v>
      </c>
      <c r="M53" s="28">
        <f t="shared" ca="1" si="6"/>
        <v>0.63600000000000001</v>
      </c>
      <c r="N53" s="24">
        <f t="shared" ca="1" si="0"/>
        <v>39.837793999999995</v>
      </c>
      <c r="O53" s="24">
        <f ca="1">OFFSET('New Huffman figures'!B48,0,C$2-1)</f>
        <v>45.3743896077088</v>
      </c>
    </row>
    <row r="54" spans="1:15">
      <c r="A54" s="1">
        <v>2002</v>
      </c>
      <c r="B54" s="23">
        <f ca="1">OFFSET(Yields!B45,0,$C$2-1)</f>
        <v>129.30000000000001</v>
      </c>
      <c r="C54" s="24">
        <f t="shared" ca="1" si="1"/>
        <v>530.65491352726463</v>
      </c>
      <c r="D54" s="24">
        <f t="shared" ca="1" si="2"/>
        <v>679.36544808976862</v>
      </c>
      <c r="E54" s="31">
        <v>992.79673752811402</v>
      </c>
      <c r="F54" s="23">
        <v>534.42421233956998</v>
      </c>
      <c r="G54" s="24">
        <f t="shared" ref="G54:G66" ca="1" si="7">G53</f>
        <v>0.49148493753329547</v>
      </c>
      <c r="H54" s="22">
        <f ca="1">H$49+(5/11)*(H$60-H$49)</f>
        <v>0.2737445270537428</v>
      </c>
      <c r="I54" s="24">
        <f t="shared" ca="1" si="3"/>
        <v>487.94464252726465</v>
      </c>
      <c r="J54" s="24">
        <f t="shared" ca="1" si="4"/>
        <v>634.24034578022929</v>
      </c>
      <c r="K54" s="29">
        <f ca="1">OFFSET('Public R&amp;D'!M49,0,C$2-1)</f>
        <v>118.31100000000001</v>
      </c>
      <c r="L54" s="28">
        <f t="shared" ca="1" si="5"/>
        <v>0.36099999999999999</v>
      </c>
      <c r="M54" s="28">
        <f t="shared" ca="1" si="6"/>
        <v>0.63600000000000001</v>
      </c>
      <c r="N54" s="24">
        <f t="shared" ca="1" si="0"/>
        <v>42.710270999999999</v>
      </c>
      <c r="O54" s="24">
        <f ca="1">OFFSET('New Huffman figures'!B49,0,C$2-1)</f>
        <v>45.125102309539301</v>
      </c>
    </row>
    <row r="55" spans="1:15">
      <c r="A55" s="1">
        <v>2003</v>
      </c>
      <c r="B55" s="23">
        <f ca="1">OFFSET(Yields!B46,0,$C$2-1)</f>
        <v>142.19999999999999</v>
      </c>
      <c r="C55" s="24">
        <f t="shared" ca="1" si="1"/>
        <v>532.21386475102258</v>
      </c>
      <c r="D55" s="24">
        <f t="shared" ca="1" si="2"/>
        <v>689.53479142786136</v>
      </c>
      <c r="E55" s="31">
        <v>995.804862723523</v>
      </c>
      <c r="F55" s="23">
        <v>555.04538314560295</v>
      </c>
      <c r="G55" s="24">
        <f t="shared" ca="1" si="7"/>
        <v>0.49148493753329547</v>
      </c>
      <c r="H55" s="22">
        <f ca="1">H$49+(6/11)*(H$60-H$49)</f>
        <v>0.27991085067256027</v>
      </c>
      <c r="I55" s="24">
        <f t="shared" ca="1" si="3"/>
        <v>489.42309075102258</v>
      </c>
      <c r="J55" s="24">
        <f t="shared" ca="1" si="4"/>
        <v>644.78631610918546</v>
      </c>
      <c r="K55" s="29">
        <f ca="1">OFFSET('Public R&amp;D'!M50,0,C$2-1)</f>
        <v>118.53400000000001</v>
      </c>
      <c r="L55" s="28">
        <f t="shared" ca="1" si="5"/>
        <v>0.36099999999999999</v>
      </c>
      <c r="M55" s="28">
        <f t="shared" ca="1" si="6"/>
        <v>0.63600000000000001</v>
      </c>
      <c r="N55" s="24">
        <f t="shared" ca="1" si="0"/>
        <v>42.790773999999999</v>
      </c>
      <c r="O55" s="24">
        <f ca="1">OFFSET('New Huffman figures'!B50,0,C$2-1)</f>
        <v>44.748475318675901</v>
      </c>
    </row>
    <row r="56" spans="1:15">
      <c r="A56" s="1">
        <v>2004</v>
      </c>
      <c r="B56" s="23">
        <f ca="1">OFFSET(Yields!B47,0,$C$2-1)</f>
        <v>160.30000000000001</v>
      </c>
      <c r="C56" s="24">
        <f t="shared" ca="1" si="1"/>
        <v>567.46968523161831</v>
      </c>
      <c r="D56" s="24">
        <f t="shared" ca="1" si="2"/>
        <v>745.29946738373587</v>
      </c>
      <c r="E56" s="31">
        <v>1061.1207270137099</v>
      </c>
      <c r="F56" s="23">
        <v>602.37699043441796</v>
      </c>
      <c r="G56" s="24">
        <f t="shared" ca="1" si="7"/>
        <v>0.49148493753329547</v>
      </c>
      <c r="H56" s="22">
        <f ca="1">H$49+(7/11)*(H$60-H$49)</f>
        <v>0.2860771742913778</v>
      </c>
      <c r="I56" s="24">
        <f t="shared" ca="1" si="3"/>
        <v>521.52485423161829</v>
      </c>
      <c r="J56" s="24">
        <f t="shared" ca="1" si="4"/>
        <v>693.85116151324087</v>
      </c>
      <c r="K56" s="29">
        <f ca="1">OFFSET('Public R&amp;D'!M51,0,C$2-1)</f>
        <v>127.271</v>
      </c>
      <c r="L56" s="28">
        <f t="shared" ca="1" si="5"/>
        <v>0.36099999999999999</v>
      </c>
      <c r="M56" s="28">
        <f t="shared" ca="1" si="6"/>
        <v>0.63600000000000001</v>
      </c>
      <c r="N56" s="24">
        <f t="shared" ca="1" si="0"/>
        <v>45.944831000000001</v>
      </c>
      <c r="O56" s="24">
        <f ca="1">OFFSET('New Huffman figures'!B51,0,C$2-1)</f>
        <v>51.448305870494998</v>
      </c>
    </row>
    <row r="57" spans="1:15">
      <c r="A57" s="1">
        <v>2005</v>
      </c>
      <c r="B57" s="23">
        <f ca="1">OFFSET(Yields!B48,0,$C$2-1)</f>
        <v>147.9</v>
      </c>
      <c r="C57" s="24">
        <f t="shared" ca="1" si="1"/>
        <v>575.5784182161168</v>
      </c>
      <c r="D57" s="24">
        <f t="shared" ca="1" si="2"/>
        <v>761.46989759054406</v>
      </c>
      <c r="E57" s="31">
        <v>1080.31334160703</v>
      </c>
      <c r="F57" s="23">
        <v>607.933594872561</v>
      </c>
      <c r="G57" s="24">
        <f t="shared" ca="1" si="7"/>
        <v>0.49148493753329547</v>
      </c>
      <c r="H57" s="22">
        <f ca="1">H$49+(8/11)*(H$60-H$49)</f>
        <v>0.29224349791019527</v>
      </c>
      <c r="I57" s="24">
        <f t="shared" ca="1" si="3"/>
        <v>530.95773521611682</v>
      </c>
      <c r="J57" s="24">
        <f t="shared" ca="1" si="4"/>
        <v>708.62237547879363</v>
      </c>
      <c r="K57" s="29">
        <f ca="1">OFFSET('Public R&amp;D'!M52,0,C$2-1)</f>
        <v>123.60299999999999</v>
      </c>
      <c r="L57" s="28">
        <f t="shared" ca="1" si="5"/>
        <v>0.36099999999999999</v>
      </c>
      <c r="M57" s="28">
        <f t="shared" ca="1" si="6"/>
        <v>0.63600000000000001</v>
      </c>
      <c r="N57" s="24">
        <f t="shared" ca="1" si="0"/>
        <v>44.620683</v>
      </c>
      <c r="O57" s="24">
        <f ca="1">OFFSET('New Huffman figures'!B52,0,C$2-1)</f>
        <v>52.847522111750401</v>
      </c>
    </row>
    <row r="58" spans="1:15">
      <c r="A58" s="1">
        <v>2006</v>
      </c>
      <c r="B58" s="23">
        <f ca="1">OFFSET(Yields!B49,0,$C$2-1)</f>
        <v>149.1</v>
      </c>
      <c r="C58" s="24">
        <f t="shared" ca="1" si="1"/>
        <v>658.83952855551433</v>
      </c>
      <c r="D58" s="24">
        <f t="shared" ca="1" si="2"/>
        <v>880.90288261229966</v>
      </c>
      <c r="E58" s="31">
        <v>1253.0119226976201</v>
      </c>
      <c r="F58" s="23">
        <v>592.20066185675705</v>
      </c>
      <c r="G58" s="24">
        <f t="shared" ca="1" si="7"/>
        <v>0.49148493753329547</v>
      </c>
      <c r="H58" s="22">
        <f ca="1">H$49+(19/11)*(H$60-H$49)</f>
        <v>0.36007305771718767</v>
      </c>
      <c r="I58" s="24">
        <f t="shared" ca="1" si="3"/>
        <v>615.83648655551428</v>
      </c>
      <c r="J58" s="24">
        <f t="shared" ca="1" si="4"/>
        <v>829.07198965241912</v>
      </c>
      <c r="K58" s="29">
        <f ca="1">OFFSET('Public R&amp;D'!M53,0,C$2-1)</f>
        <v>119.122</v>
      </c>
      <c r="L58" s="28">
        <f t="shared" ca="1" si="5"/>
        <v>0.36099999999999999</v>
      </c>
      <c r="M58" s="28">
        <f t="shared" ca="1" si="6"/>
        <v>0.63600000000000001</v>
      </c>
      <c r="N58" s="24">
        <f t="shared" ca="1" si="0"/>
        <v>43.003042000000001</v>
      </c>
      <c r="O58" s="24">
        <f ca="1">OFFSET('New Huffman figures'!B53,0,C$2-1)</f>
        <v>51.830892959880501</v>
      </c>
    </row>
    <row r="59" spans="1:15">
      <c r="A59" s="1">
        <v>2007</v>
      </c>
      <c r="B59" s="23">
        <f ca="1">OFFSET(Yields!B50,0,$C$2-1)</f>
        <v>150.69999999999999</v>
      </c>
      <c r="C59" s="24">
        <f t="shared" ca="1" si="1"/>
        <v>727.87308355250332</v>
      </c>
      <c r="D59" s="24">
        <f t="shared" ca="1" si="2"/>
        <v>925.9214078516053</v>
      </c>
      <c r="E59" s="31">
        <v>1390.6527593354799</v>
      </c>
      <c r="F59" s="23">
        <v>617.56654326825503</v>
      </c>
      <c r="G59" s="24">
        <f t="shared" ca="1" si="7"/>
        <v>0.49148493753329547</v>
      </c>
      <c r="H59" s="22">
        <f ca="1">H$49+(10/11)*(H$60-H$49)</f>
        <v>0.30457614514783027</v>
      </c>
      <c r="I59" s="24">
        <f t="shared" ca="1" si="3"/>
        <v>683.48488455250333</v>
      </c>
      <c r="J59" s="24">
        <f t="shared" ca="1" si="4"/>
        <v>871.5809216734192</v>
      </c>
      <c r="K59" s="29">
        <f ca="1">OFFSET('Public R&amp;D'!M54,0,C$2-1)</f>
        <v>122.959</v>
      </c>
      <c r="L59" s="28">
        <f t="shared" ca="1" si="5"/>
        <v>0.36099999999999999</v>
      </c>
      <c r="M59" s="28">
        <f t="shared" ca="1" si="6"/>
        <v>0.63600000000000001</v>
      </c>
      <c r="N59" s="24">
        <f t="shared" ca="1" si="0"/>
        <v>44.388199</v>
      </c>
      <c r="O59" s="24">
        <f ca="1">OFFSET('New Huffman figures'!B54,0,C$2-1)</f>
        <v>54.340486178186097</v>
      </c>
    </row>
    <row r="60" spans="1:15">
      <c r="A60" s="1">
        <v>2008</v>
      </c>
      <c r="B60" s="23">
        <f ca="1">OFFSET(Yields!B51,0,$C$2-1)</f>
        <v>153.30000000000001</v>
      </c>
      <c r="C60" s="24">
        <f t="shared" ca="1" si="1"/>
        <v>884.07272921349397</v>
      </c>
      <c r="D60" s="24">
        <f t="shared" ca="1" si="2"/>
        <v>1106.4767176974613</v>
      </c>
      <c r="E60" s="31">
        <v>1710.1207402852599</v>
      </c>
      <c r="F60" s="23">
        <v>686.71801293814099</v>
      </c>
      <c r="G60" s="24">
        <f t="shared" ca="1" si="7"/>
        <v>0.49148493753329547</v>
      </c>
      <c r="H60" s="26">
        <f ca="1">OFFSET('Private protection shares'!S17,0,$C$2-1)</f>
        <v>0.31074246876664774</v>
      </c>
      <c r="I60" s="24">
        <f t="shared" ca="1" si="3"/>
        <v>840.49858521349393</v>
      </c>
      <c r="J60" s="24">
        <f t="shared" ca="1" si="4"/>
        <v>1053.8910359004185</v>
      </c>
      <c r="K60" s="29">
        <f ca="1">OFFSET('Public R&amp;D'!M55,0,C$2-1)</f>
        <v>120.70399999999999</v>
      </c>
      <c r="L60" s="28">
        <f t="shared" ca="1" si="5"/>
        <v>0.36099999999999999</v>
      </c>
      <c r="M60" s="28">
        <f t="shared" ca="1" si="6"/>
        <v>0.63600000000000001</v>
      </c>
      <c r="N60" s="24">
        <f t="shared" ca="1" si="0"/>
        <v>43.574143999999997</v>
      </c>
      <c r="O60" s="24">
        <f ca="1">OFFSET('New Huffman figures'!B55,0,C$2-1)</f>
        <v>52.585681797042703</v>
      </c>
    </row>
    <row r="61" spans="1:15">
      <c r="A61" s="1">
        <v>2009</v>
      </c>
      <c r="B61" s="23">
        <f ca="1">OFFSET(Yields!B52,0,$C$2-1)</f>
        <v>164.4</v>
      </c>
      <c r="C61" s="24">
        <f t="shared" ca="1" si="1"/>
        <v>962.83002953643586</v>
      </c>
      <c r="D61" s="24">
        <f t="shared" ca="1" si="2"/>
        <v>1209.6394187863752</v>
      </c>
      <c r="E61" s="31">
        <v>1869.38227069104</v>
      </c>
      <c r="F61" s="23">
        <v>760.89507137100395</v>
      </c>
      <c r="G61" s="24">
        <f t="shared" ca="1" si="7"/>
        <v>0.49148493753329547</v>
      </c>
      <c r="H61" s="22">
        <f t="shared" ref="H61:H66" ca="1" si="8">H60</f>
        <v>0.31074246876664774</v>
      </c>
      <c r="I61" s="24">
        <f t="shared" ca="1" si="3"/>
        <v>918.77322853643591</v>
      </c>
      <c r="J61" s="24">
        <f t="shared" ca="1" si="4"/>
        <v>1155.2156414866363</v>
      </c>
      <c r="K61" s="29">
        <f ca="1">OFFSET('Public R&amp;D'!M56,0,C$2-1)</f>
        <v>122.041</v>
      </c>
      <c r="L61" s="28">
        <f t="shared" ca="1" si="5"/>
        <v>0.36099999999999999</v>
      </c>
      <c r="M61" s="28">
        <f t="shared" ca="1" si="6"/>
        <v>0.63600000000000001</v>
      </c>
      <c r="N61" s="24">
        <f t="shared" ca="1" si="0"/>
        <v>44.056801</v>
      </c>
      <c r="O61" s="24">
        <f ca="1">OFFSET('New Huffman figures'!B56,0,C$2-1)</f>
        <v>54.423777299739001</v>
      </c>
    </row>
    <row r="62" spans="1:15">
      <c r="A62" s="1">
        <v>2010</v>
      </c>
      <c r="B62" s="23">
        <f ca="1">OFFSET(Yields!B53,0,$C$2-1)</f>
        <v>152.6</v>
      </c>
      <c r="C62" s="24">
        <f ca="1">I62+N62</f>
        <v>1084.8426556216707</v>
      </c>
      <c r="D62" s="24"/>
      <c r="E62" s="31">
        <v>2132.1925324530998</v>
      </c>
      <c r="F62" s="23">
        <v>847.03499718688101</v>
      </c>
      <c r="G62" s="24">
        <f t="shared" ca="1" si="7"/>
        <v>0.49148493753329547</v>
      </c>
      <c r="H62" s="22">
        <f t="shared" ca="1" si="8"/>
        <v>0.31074246876664774</v>
      </c>
      <c r="I62" s="24">
        <f t="shared" ca="1" si="3"/>
        <v>1047.9405136216708</v>
      </c>
      <c r="J62" s="24">
        <f t="shared" ca="1" si="4"/>
        <v>1311.1502597792728</v>
      </c>
      <c r="K62" s="29">
        <f ca="1">OFFSET('Public R&amp;D'!M57,0,C$2-1)</f>
        <v>102.22199999999999</v>
      </c>
      <c r="L62" s="28">
        <f t="shared" ca="1" si="5"/>
        <v>0.36099999999999999</v>
      </c>
      <c r="M62" s="28">
        <f t="shared" ca="1" si="6"/>
        <v>0.63600000000000001</v>
      </c>
      <c r="N62" s="24">
        <f t="shared" ca="1" si="0"/>
        <v>36.902141999999998</v>
      </c>
      <c r="O62" s="24"/>
    </row>
    <row r="63" spans="1:15">
      <c r="A63" s="1">
        <v>2011</v>
      </c>
      <c r="B63" s="23">
        <f ca="1">OFFSET(Yields!B54,0,$C$2-1)</f>
        <v>146.80000000000001</v>
      </c>
      <c r="C63" s="24">
        <f ca="1">I63+N63</f>
        <v>1234.7603343596113</v>
      </c>
      <c r="D63" s="24"/>
      <c r="E63" s="31">
        <v>2436.8509284752499</v>
      </c>
      <c r="F63" s="23">
        <v>929.01819290419098</v>
      </c>
      <c r="G63" s="24">
        <f t="shared" ca="1" si="7"/>
        <v>0.49148493753329547</v>
      </c>
      <c r="H63" s="22">
        <f t="shared" ca="1" si="8"/>
        <v>0.31074246876664774</v>
      </c>
      <c r="I63" s="24">
        <f t="shared" ca="1" si="3"/>
        <v>1197.6755263596112</v>
      </c>
      <c r="J63" s="24">
        <f t="shared" ca="1" si="4"/>
        <v>1486.3609331517894</v>
      </c>
      <c r="K63" s="29">
        <f ca="1">OFFSET('Public R&amp;D'!M58,0,C$2-1)</f>
        <v>102.72799999999999</v>
      </c>
      <c r="L63" s="28">
        <f t="shared" ca="1" si="5"/>
        <v>0.36099999999999999</v>
      </c>
      <c r="M63" s="28">
        <f t="shared" ca="1" si="6"/>
        <v>0.63600000000000001</v>
      </c>
      <c r="N63" s="24">
        <f t="shared" ca="1" si="0"/>
        <v>37.084807999999995</v>
      </c>
      <c r="O63" s="24"/>
    </row>
    <row r="64" spans="1:15">
      <c r="A64" s="1">
        <v>2012</v>
      </c>
      <c r="B64" s="23">
        <f ca="1">OFFSET(Yields!B55,0,$C$2-1)</f>
        <v>123.1</v>
      </c>
      <c r="C64" s="24">
        <f ca="1">I64+N64</f>
        <v>1308.3482335987435</v>
      </c>
      <c r="D64" s="24"/>
      <c r="E64" s="31">
        <v>2585.5174117368701</v>
      </c>
      <c r="F64" s="23">
        <v>1031.18229698141</v>
      </c>
      <c r="G64" s="24">
        <f t="shared" ca="1" si="7"/>
        <v>0.49148493753329547</v>
      </c>
      <c r="H64" s="22">
        <f t="shared" ca="1" si="8"/>
        <v>0.31074246876664774</v>
      </c>
      <c r="I64" s="24">
        <f t="shared" ca="1" si="3"/>
        <v>1270.7428635987435</v>
      </c>
      <c r="J64" s="24">
        <f t="shared" ca="1" si="4"/>
        <v>1591.1749963112093</v>
      </c>
      <c r="K64" s="29">
        <f ca="1">OFFSET('Public R&amp;D'!M59,0,C$2-1)</f>
        <v>104.17</v>
      </c>
      <c r="L64" s="28">
        <f t="shared" ca="1" si="5"/>
        <v>0.36099999999999999</v>
      </c>
      <c r="M64" s="28">
        <f t="shared" ca="1" si="6"/>
        <v>0.63600000000000001</v>
      </c>
      <c r="N64" s="24">
        <f t="shared" ca="1" si="0"/>
        <v>37.605370000000001</v>
      </c>
      <c r="O64" s="24"/>
    </row>
    <row r="65" spans="1:15">
      <c r="A65" s="1">
        <v>2013</v>
      </c>
      <c r="B65" s="23">
        <f ca="1">OFFSET(Yields!B56,0,$C$2-1)</f>
        <v>158.1</v>
      </c>
      <c r="C65" s="24">
        <f ca="1">I65+N65</f>
        <v>1342.6981418621967</v>
      </c>
      <c r="D65" s="24"/>
      <c r="E65" s="31">
        <v>2658.0105636984999</v>
      </c>
      <c r="F65" s="23">
        <v>1112.61633083074</v>
      </c>
      <c r="G65" s="24">
        <f t="shared" ca="1" si="7"/>
        <v>0.49148493753329547</v>
      </c>
      <c r="H65" s="22">
        <f t="shared" ca="1" si="8"/>
        <v>0.31074246876664774</v>
      </c>
      <c r="I65" s="24">
        <f t="shared" ca="1" si="3"/>
        <v>1306.3721558621967</v>
      </c>
      <c r="J65" s="24">
        <f t="shared" ca="1" si="4"/>
        <v>1652.1093012946301</v>
      </c>
      <c r="K65" s="29">
        <f ca="1">OFFSET('Public R&amp;D'!M60,0,C$2-1)</f>
        <v>100.626</v>
      </c>
      <c r="L65" s="28">
        <f t="shared" ca="1" si="5"/>
        <v>0.36099999999999999</v>
      </c>
      <c r="M65" s="28">
        <f t="shared" ca="1" si="6"/>
        <v>0.63600000000000001</v>
      </c>
      <c r="N65" s="24">
        <f t="shared" ca="1" si="0"/>
        <v>36.325986</v>
      </c>
      <c r="O65" s="24"/>
    </row>
    <row r="66" spans="1:15">
      <c r="A66" s="1">
        <v>2014</v>
      </c>
      <c r="B66" s="23">
        <f ca="1">OFFSET(Yields!B57,0,$C$2-1)</f>
        <v>171</v>
      </c>
      <c r="C66" s="24">
        <f ca="1">I66+N66</f>
        <v>1418.9221776231232</v>
      </c>
      <c r="D66" s="24"/>
      <c r="E66" s="31">
        <v>2816.80321796095</v>
      </c>
      <c r="F66" s="23">
        <v>1152.74257160915</v>
      </c>
      <c r="G66" s="24">
        <f t="shared" ca="1" si="7"/>
        <v>0.49148493753329547</v>
      </c>
      <c r="H66" s="22">
        <f t="shared" ca="1" si="8"/>
        <v>0.31074246876664774</v>
      </c>
      <c r="I66" s="24">
        <f t="shared" ca="1" si="3"/>
        <v>1384.4163536231231</v>
      </c>
      <c r="J66" s="24">
        <f t="shared" ca="1" si="4"/>
        <v>1742.6224261773646</v>
      </c>
      <c r="K66" s="29">
        <f ca="1">OFFSET('Public R&amp;D'!M61,0,C$2-1)</f>
        <v>95.584000000000003</v>
      </c>
      <c r="L66" s="28">
        <f t="shared" ca="1" si="5"/>
        <v>0.36099999999999999</v>
      </c>
      <c r="M66" s="28">
        <f t="shared" ca="1" si="6"/>
        <v>0.63600000000000001</v>
      </c>
      <c r="N66" s="24">
        <f t="shared" ca="1" si="0"/>
        <v>34.505823999999997</v>
      </c>
      <c r="O66" s="24"/>
    </row>
    <row r="67" spans="1:15">
      <c r="A67" s="1">
        <v>2015</v>
      </c>
      <c r="B67" s="23">
        <f ca="1">OFFSET(Yields!B58,0,$C$2-1)</f>
        <v>168.4</v>
      </c>
      <c r="C67" s="24"/>
      <c r="D67" s="24"/>
      <c r="E67" s="24"/>
      <c r="F67" s="24"/>
      <c r="G67" s="24"/>
      <c r="H67" s="24"/>
      <c r="I67" s="24"/>
      <c r="J67" s="24"/>
      <c r="K67" s="24"/>
      <c r="L67" s="24"/>
      <c r="M67" s="24"/>
      <c r="N67" s="24"/>
      <c r="O67" s="24"/>
    </row>
  </sheetData>
  <mergeCells count="1">
    <mergeCell ref="A1:O1"/>
  </mergeCells>
  <dataValidations count="1">
    <dataValidation type="list" allowBlank="1" showInputMessage="1" showErrorMessage="1" sqref="B2" xr:uid="{00000000-0002-0000-0000-000000000000}">
      <formula1>ValidCrops</formula1>
      <formula2>0</formula2>
    </dataValidation>
  </dataValidation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112FA-A078-49D3-A4DB-C844D5787AE2}">
  <dimension ref="A2:H44"/>
  <sheetViews>
    <sheetView tabSelected="1" workbookViewId="0">
      <selection activeCell="G20" sqref="G20"/>
    </sheetView>
  </sheetViews>
  <sheetFormatPr defaultRowHeight="15.5"/>
  <sheetData>
    <row r="2" spans="1:4">
      <c r="A2" t="s">
        <v>207</v>
      </c>
      <c r="B2" t="s">
        <v>209</v>
      </c>
      <c r="C2" t="s">
        <v>206</v>
      </c>
      <c r="D2" t="s">
        <v>208</v>
      </c>
    </row>
    <row r="3" spans="1:4">
      <c r="A3">
        <v>1970</v>
      </c>
      <c r="B3">
        <v>3</v>
      </c>
      <c r="C3">
        <v>100</v>
      </c>
      <c r="D3">
        <f>C4-C3</f>
        <v>3</v>
      </c>
    </row>
    <row r="4" spans="1:4">
      <c r="A4">
        <v>1971</v>
      </c>
      <c r="B4">
        <v>2.9750000000000001</v>
      </c>
      <c r="C4">
        <f>C3*(1+B3/100)</f>
        <v>103</v>
      </c>
      <c r="D4">
        <f t="shared" ref="D4:D44" si="0">C5-C4</f>
        <v>3.064249999999987</v>
      </c>
    </row>
    <row r="5" spans="1:4">
      <c r="A5">
        <v>1972</v>
      </c>
      <c r="B5">
        <v>2.95</v>
      </c>
      <c r="C5">
        <f t="shared" ref="C5:C43" si="1">C4*(1+B4/100)</f>
        <v>106.06424999999999</v>
      </c>
      <c r="D5">
        <f t="shared" si="0"/>
        <v>3.1288953750000132</v>
      </c>
    </row>
    <row r="6" spans="1:4">
      <c r="A6">
        <v>1973</v>
      </c>
      <c r="B6">
        <v>2.9249999999999998</v>
      </c>
      <c r="C6">
        <f t="shared" si="1"/>
        <v>109.193145375</v>
      </c>
      <c r="D6">
        <f t="shared" si="0"/>
        <v>3.1938995022187555</v>
      </c>
    </row>
    <row r="7" spans="1:4">
      <c r="A7">
        <v>1974</v>
      </c>
      <c r="B7">
        <v>2.9</v>
      </c>
      <c r="C7">
        <f t="shared" si="1"/>
        <v>112.38704487721876</v>
      </c>
      <c r="D7">
        <f t="shared" si="0"/>
        <v>3.2592243014393318</v>
      </c>
    </row>
    <row r="8" spans="1:4">
      <c r="A8">
        <v>1975</v>
      </c>
      <c r="B8">
        <v>2.875</v>
      </c>
      <c r="C8">
        <f t="shared" si="1"/>
        <v>115.64626917865809</v>
      </c>
      <c r="D8">
        <f t="shared" si="0"/>
        <v>3.3248302388864204</v>
      </c>
    </row>
    <row r="9" spans="1:4">
      <c r="A9">
        <v>1976</v>
      </c>
      <c r="B9">
        <v>2.85</v>
      </c>
      <c r="C9">
        <f t="shared" si="1"/>
        <v>118.97109941754451</v>
      </c>
      <c r="D9">
        <f t="shared" si="0"/>
        <v>3.390676333400009</v>
      </c>
    </row>
    <row r="10" spans="1:4">
      <c r="A10">
        <v>1977</v>
      </c>
      <c r="B10">
        <v>2.8250000000000002</v>
      </c>
      <c r="C10">
        <f t="shared" si="1"/>
        <v>122.36177575094452</v>
      </c>
      <c r="D10">
        <f t="shared" si="0"/>
        <v>3.4567201649641959</v>
      </c>
    </row>
    <row r="11" spans="1:4">
      <c r="A11">
        <v>1978</v>
      </c>
      <c r="B11">
        <v>2.8</v>
      </c>
      <c r="C11">
        <f t="shared" si="1"/>
        <v>125.81849591590871</v>
      </c>
      <c r="D11">
        <f t="shared" si="0"/>
        <v>3.5229178856454411</v>
      </c>
    </row>
    <row r="12" spans="1:4">
      <c r="A12">
        <v>1979</v>
      </c>
      <c r="B12">
        <v>2.7749999999999999</v>
      </c>
      <c r="C12">
        <f t="shared" si="1"/>
        <v>129.34141380155415</v>
      </c>
      <c r="D12">
        <f t="shared" si="0"/>
        <v>3.5892242329931321</v>
      </c>
    </row>
    <row r="13" spans="1:4">
      <c r="A13">
        <v>1980</v>
      </c>
      <c r="B13">
        <v>2.75</v>
      </c>
      <c r="C13">
        <f t="shared" si="1"/>
        <v>132.93063803454729</v>
      </c>
      <c r="D13">
        <f t="shared" si="0"/>
        <v>3.6555925459500713</v>
      </c>
    </row>
    <row r="14" spans="1:4">
      <c r="A14">
        <v>1981</v>
      </c>
      <c r="B14">
        <v>2.7250000000000001</v>
      </c>
      <c r="C14">
        <f t="shared" si="1"/>
        <v>136.58623058049736</v>
      </c>
      <c r="D14">
        <f t="shared" si="0"/>
        <v>3.7219747833185579</v>
      </c>
    </row>
    <row r="15" spans="1:4">
      <c r="A15">
        <v>1982</v>
      </c>
      <c r="B15">
        <v>2.7</v>
      </c>
      <c r="C15">
        <f t="shared" si="1"/>
        <v>140.30820536381592</v>
      </c>
      <c r="D15">
        <f t="shared" si="0"/>
        <v>3.7883215448230203</v>
      </c>
    </row>
    <row r="16" spans="1:4">
      <c r="A16">
        <v>1983</v>
      </c>
      <c r="B16">
        <v>2.6749999999999998</v>
      </c>
      <c r="C16">
        <f t="shared" si="1"/>
        <v>144.09652690863894</v>
      </c>
      <c r="D16">
        <f t="shared" si="0"/>
        <v>3.8545820948060907</v>
      </c>
    </row>
    <row r="17" spans="1:4">
      <c r="A17">
        <v>1984</v>
      </c>
      <c r="B17">
        <v>2.65</v>
      </c>
      <c r="C17">
        <f t="shared" si="1"/>
        <v>147.95110900344503</v>
      </c>
      <c r="D17">
        <f t="shared" si="0"/>
        <v>3.9207043885912753</v>
      </c>
    </row>
    <row r="18" spans="1:4">
      <c r="A18">
        <v>1985</v>
      </c>
      <c r="B18">
        <v>2.625</v>
      </c>
      <c r="C18">
        <f t="shared" si="1"/>
        <v>151.8718133920363</v>
      </c>
      <c r="D18">
        <f t="shared" si="0"/>
        <v>3.9866351015409691</v>
      </c>
    </row>
    <row r="19" spans="1:4">
      <c r="A19">
        <v>1986</v>
      </c>
      <c r="B19">
        <v>2.6</v>
      </c>
      <c r="C19">
        <f t="shared" si="1"/>
        <v>155.85844849357727</v>
      </c>
      <c r="D19">
        <f t="shared" si="0"/>
        <v>4.0523196608330068</v>
      </c>
    </row>
    <row r="20" spans="1:4">
      <c r="A20">
        <v>1987</v>
      </c>
      <c r="B20">
        <v>2.5750000000000002</v>
      </c>
      <c r="C20">
        <f t="shared" si="1"/>
        <v>159.91076815441028</v>
      </c>
      <c r="D20">
        <f t="shared" si="0"/>
        <v>4.1177022799760437</v>
      </c>
    </row>
    <row r="21" spans="1:4">
      <c r="A21">
        <v>1988</v>
      </c>
      <c r="B21">
        <v>2.5499999999999998</v>
      </c>
      <c r="C21">
        <f t="shared" si="1"/>
        <v>164.02847043438632</v>
      </c>
      <c r="D21">
        <f t="shared" si="0"/>
        <v>4.1827259960768686</v>
      </c>
    </row>
    <row r="22" spans="1:4">
      <c r="A22">
        <v>1989</v>
      </c>
      <c r="B22">
        <v>2.5249999999999999</v>
      </c>
      <c r="C22">
        <f t="shared" si="1"/>
        <v>168.21119643046319</v>
      </c>
      <c r="D22">
        <f t="shared" si="0"/>
        <v>4.2473327098691982</v>
      </c>
    </row>
    <row r="23" spans="1:4">
      <c r="A23">
        <v>1990</v>
      </c>
      <c r="B23">
        <v>2.5</v>
      </c>
      <c r="C23">
        <f t="shared" si="1"/>
        <v>172.45852914033239</v>
      </c>
      <c r="D23">
        <f t="shared" si="0"/>
        <v>4.3114632285083019</v>
      </c>
    </row>
    <row r="24" spans="1:4">
      <c r="A24">
        <v>1991</v>
      </c>
      <c r="B24">
        <v>2.4750000000000001</v>
      </c>
      <c r="C24">
        <f t="shared" si="1"/>
        <v>176.76999236884069</v>
      </c>
      <c r="D24">
        <f t="shared" si="0"/>
        <v>4.3750573111288134</v>
      </c>
    </row>
    <row r="25" spans="1:4">
      <c r="A25">
        <v>1992</v>
      </c>
      <c r="B25">
        <v>2.4500000000000002</v>
      </c>
      <c r="C25">
        <f t="shared" si="1"/>
        <v>181.1450496799695</v>
      </c>
      <c r="D25">
        <f t="shared" si="0"/>
        <v>4.4380537171592493</v>
      </c>
    </row>
    <row r="26" spans="1:4">
      <c r="A26">
        <v>1993</v>
      </c>
      <c r="B26">
        <v>2.4249999999999998</v>
      </c>
      <c r="C26">
        <f t="shared" si="1"/>
        <v>185.58310339712875</v>
      </c>
      <c r="D26">
        <f t="shared" si="0"/>
        <v>4.5003902573803884</v>
      </c>
    </row>
    <row r="27" spans="1:4">
      <c r="A27">
        <v>1994</v>
      </c>
      <c r="B27">
        <v>2.4</v>
      </c>
      <c r="C27">
        <f t="shared" si="1"/>
        <v>190.08349365450914</v>
      </c>
      <c r="D27">
        <f t="shared" si="0"/>
        <v>4.5620038477082119</v>
      </c>
    </row>
    <row r="28" spans="1:4">
      <c r="A28">
        <v>1995</v>
      </c>
      <c r="B28">
        <v>2.375</v>
      </c>
      <c r="C28">
        <f t="shared" si="1"/>
        <v>194.64549750221735</v>
      </c>
      <c r="D28">
        <f t="shared" si="0"/>
        <v>4.6228305656776456</v>
      </c>
    </row>
    <row r="29" spans="1:4">
      <c r="A29">
        <v>1996</v>
      </c>
      <c r="B29">
        <v>2.35</v>
      </c>
      <c r="C29">
        <f t="shared" si="1"/>
        <v>199.268328067895</v>
      </c>
      <c r="D29">
        <f t="shared" si="0"/>
        <v>4.6828057095955558</v>
      </c>
    </row>
    <row r="30" spans="1:4">
      <c r="A30">
        <v>1997</v>
      </c>
      <c r="B30">
        <v>2.3250000000000002</v>
      </c>
      <c r="C30">
        <f t="shared" si="1"/>
        <v>203.95113377749055</v>
      </c>
      <c r="D30">
        <f t="shared" si="0"/>
        <v>4.7418638603266459</v>
      </c>
    </row>
    <row r="31" spans="1:4">
      <c r="A31">
        <v>1998</v>
      </c>
      <c r="B31">
        <v>2.2999999999999998</v>
      </c>
      <c r="C31">
        <f t="shared" si="1"/>
        <v>208.6929976378172</v>
      </c>
      <c r="D31">
        <f t="shared" si="0"/>
        <v>4.7999389456697656</v>
      </c>
    </row>
    <row r="32" spans="1:4">
      <c r="A32">
        <v>1999</v>
      </c>
      <c r="B32">
        <v>2.2749999999999999</v>
      </c>
      <c r="C32">
        <f t="shared" si="1"/>
        <v>213.49293658348697</v>
      </c>
      <c r="D32">
        <f t="shared" si="0"/>
        <v>4.8569643072743247</v>
      </c>
    </row>
    <row r="33" spans="1:8">
      <c r="A33">
        <v>2000</v>
      </c>
      <c r="B33">
        <v>2.25</v>
      </c>
      <c r="C33">
        <f t="shared" si="1"/>
        <v>218.34990089076129</v>
      </c>
      <c r="D33">
        <f t="shared" si="0"/>
        <v>4.912872770042128</v>
      </c>
    </row>
    <row r="34" spans="1:8">
      <c r="A34">
        <v>2001</v>
      </c>
      <c r="B34">
        <v>2.2250000000000001</v>
      </c>
      <c r="C34">
        <f t="shared" si="1"/>
        <v>223.26277366080342</v>
      </c>
      <c r="D34">
        <f t="shared" si="0"/>
        <v>4.9675967139529007</v>
      </c>
    </row>
    <row r="35" spans="1:8">
      <c r="A35">
        <v>2002</v>
      </c>
      <c r="B35">
        <v>2.2000000000000002</v>
      </c>
      <c r="C35">
        <f t="shared" si="1"/>
        <v>228.23037037475632</v>
      </c>
      <c r="D35">
        <f t="shared" si="0"/>
        <v>5.0210681482446375</v>
      </c>
    </row>
    <row r="36" spans="1:8">
      <c r="A36">
        <v>2003</v>
      </c>
      <c r="B36">
        <v>2.1749999999999998</v>
      </c>
      <c r="C36">
        <f t="shared" si="1"/>
        <v>233.25143852300096</v>
      </c>
      <c r="D36">
        <f t="shared" si="0"/>
        <v>5.0732187878752484</v>
      </c>
    </row>
    <row r="37" spans="1:8">
      <c r="A37">
        <v>2004</v>
      </c>
      <c r="B37">
        <v>2.15</v>
      </c>
      <c r="C37">
        <f t="shared" si="1"/>
        <v>238.3246573108762</v>
      </c>
      <c r="D37">
        <f t="shared" si="0"/>
        <v>5.1239801321838456</v>
      </c>
    </row>
    <row r="38" spans="1:8">
      <c r="A38">
        <v>2005</v>
      </c>
      <c r="B38">
        <v>2.125</v>
      </c>
      <c r="C38">
        <f t="shared" si="1"/>
        <v>243.44863744306005</v>
      </c>
      <c r="D38">
        <f t="shared" si="0"/>
        <v>5.173283545665015</v>
      </c>
    </row>
    <row r="39" spans="1:8">
      <c r="A39">
        <v>2006</v>
      </c>
      <c r="B39">
        <v>2.1</v>
      </c>
      <c r="C39">
        <f t="shared" si="1"/>
        <v>248.62192098872507</v>
      </c>
      <c r="D39">
        <f t="shared" si="0"/>
        <v>5.2210603407632163</v>
      </c>
    </row>
    <row r="40" spans="1:8">
      <c r="A40">
        <v>2007</v>
      </c>
      <c r="B40">
        <v>2.0750000000000002</v>
      </c>
      <c r="C40">
        <f t="shared" si="1"/>
        <v>253.84298132948828</v>
      </c>
      <c r="D40">
        <f t="shared" si="0"/>
        <v>5.2672418625869</v>
      </c>
    </row>
    <row r="41" spans="1:8">
      <c r="A41">
        <v>2008</v>
      </c>
      <c r="B41">
        <v>2.0499999999999998</v>
      </c>
      <c r="C41">
        <f t="shared" si="1"/>
        <v>259.11022319207518</v>
      </c>
      <c r="D41">
        <f t="shared" si="0"/>
        <v>5.3117595754375202</v>
      </c>
    </row>
    <row r="42" spans="1:8">
      <c r="A42">
        <v>2009</v>
      </c>
      <c r="B42">
        <v>2.0249999999999999</v>
      </c>
      <c r="C42">
        <f t="shared" si="1"/>
        <v>264.4219827675127</v>
      </c>
      <c r="D42">
        <f t="shared" si="0"/>
        <v>5.3545451510421458</v>
      </c>
    </row>
    <row r="43" spans="1:8">
      <c r="A43">
        <v>2010</v>
      </c>
      <c r="B43">
        <v>2</v>
      </c>
      <c r="C43">
        <f t="shared" si="1"/>
        <v>269.77652791855485</v>
      </c>
      <c r="D43">
        <f t="shared" si="0"/>
        <v>5.3955305583710924</v>
      </c>
      <c r="G43" t="s">
        <v>210</v>
      </c>
      <c r="H43">
        <f>D43/D3</f>
        <v>1.7985101861236974</v>
      </c>
    </row>
    <row r="44" spans="1:8">
      <c r="B44">
        <v>3</v>
      </c>
      <c r="C44">
        <f t="shared" ref="C44" si="2">C43*(1+B43/100)</f>
        <v>275.17205847692594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1"/>
  <sheetViews>
    <sheetView showGridLines="0" zoomScaleNormal="100" workbookViewId="0">
      <selection activeCell="F5" sqref="F5"/>
    </sheetView>
  </sheetViews>
  <sheetFormatPr defaultRowHeight="15.5"/>
  <cols>
    <col min="1" max="1025" width="11"/>
  </cols>
  <sheetData>
    <row r="1" spans="1:5" ht="23.5">
      <c r="A1" s="66" t="s">
        <v>48</v>
      </c>
      <c r="B1" s="66"/>
      <c r="C1" s="66"/>
      <c r="D1" s="66"/>
      <c r="E1" s="66"/>
    </row>
    <row r="2" spans="1:5">
      <c r="A2" s="33" t="s">
        <v>47</v>
      </c>
      <c r="B2" s="33" t="s">
        <v>2</v>
      </c>
      <c r="C2" s="33" t="s">
        <v>49</v>
      </c>
      <c r="D2" s="33" t="s">
        <v>50</v>
      </c>
      <c r="E2" s="33" t="s">
        <v>51</v>
      </c>
    </row>
    <row r="3" spans="1:5">
      <c r="A3">
        <v>1960</v>
      </c>
      <c r="B3" s="34">
        <v>54.7</v>
      </c>
      <c r="C3" s="34">
        <v>23.5</v>
      </c>
      <c r="D3" s="34">
        <v>446</v>
      </c>
      <c r="E3" s="34">
        <v>26.1</v>
      </c>
    </row>
    <row r="4" spans="1:5">
      <c r="A4">
        <v>1961</v>
      </c>
      <c r="B4" s="34">
        <v>62.4</v>
      </c>
      <c r="C4" s="34">
        <v>25.1</v>
      </c>
      <c r="D4" s="34">
        <v>438</v>
      </c>
      <c r="E4" s="34">
        <v>23.9</v>
      </c>
    </row>
    <row r="5" spans="1:5">
      <c r="A5">
        <v>1962</v>
      </c>
      <c r="B5" s="34">
        <v>64.7</v>
      </c>
      <c r="C5" s="34">
        <v>24.2</v>
      </c>
      <c r="D5" s="34">
        <v>457</v>
      </c>
      <c r="E5" s="34">
        <v>25</v>
      </c>
    </row>
    <row r="6" spans="1:5">
      <c r="A6">
        <v>1963</v>
      </c>
      <c r="B6" s="34">
        <v>67.900000000000006</v>
      </c>
      <c r="C6" s="34">
        <v>24.4</v>
      </c>
      <c r="D6" s="34">
        <v>517</v>
      </c>
      <c r="E6" s="34">
        <v>25.2</v>
      </c>
    </row>
    <row r="7" spans="1:5">
      <c r="A7">
        <v>1964</v>
      </c>
      <c r="B7" s="34">
        <v>62.9</v>
      </c>
      <c r="C7" s="34">
        <v>22.8</v>
      </c>
      <c r="D7" s="34">
        <v>517</v>
      </c>
      <c r="E7" s="34">
        <v>25.8</v>
      </c>
    </row>
    <row r="8" spans="1:5">
      <c r="A8">
        <v>1965</v>
      </c>
      <c r="B8" s="34">
        <v>74.099999999999994</v>
      </c>
      <c r="C8" s="34">
        <v>24.5</v>
      </c>
      <c r="D8" s="34">
        <v>527</v>
      </c>
      <c r="E8" s="34">
        <v>26.5</v>
      </c>
    </row>
    <row r="9" spans="1:5">
      <c r="A9">
        <v>1966</v>
      </c>
      <c r="B9" s="34">
        <v>73.099999999999994</v>
      </c>
      <c r="C9" s="34">
        <v>25.4</v>
      </c>
      <c r="D9" s="34">
        <v>480</v>
      </c>
      <c r="E9" s="34">
        <v>26.3</v>
      </c>
    </row>
    <row r="10" spans="1:5">
      <c r="A10">
        <v>1967</v>
      </c>
      <c r="B10" s="34">
        <v>80.099999999999994</v>
      </c>
      <c r="C10" s="34">
        <v>24.5</v>
      </c>
      <c r="D10" s="34">
        <v>447</v>
      </c>
      <c r="E10" s="34">
        <v>25.8</v>
      </c>
    </row>
    <row r="11" spans="1:5">
      <c r="A11">
        <v>1968</v>
      </c>
      <c r="B11" s="34">
        <v>79.5</v>
      </c>
      <c r="C11" s="34">
        <v>26.7</v>
      </c>
      <c r="D11" s="34">
        <v>516</v>
      </c>
      <c r="E11" s="34">
        <v>28.4</v>
      </c>
    </row>
    <row r="12" spans="1:5">
      <c r="A12">
        <v>1969</v>
      </c>
      <c r="B12" s="34">
        <v>85.9</v>
      </c>
      <c r="C12" s="34">
        <v>27.4</v>
      </c>
      <c r="D12" s="34">
        <v>434</v>
      </c>
      <c r="E12" s="34">
        <v>30.6</v>
      </c>
    </row>
    <row r="13" spans="1:5">
      <c r="A13">
        <v>1970</v>
      </c>
      <c r="B13" s="34">
        <v>72.400000000000006</v>
      </c>
      <c r="C13" s="34">
        <v>26.7</v>
      </c>
      <c r="D13" s="34">
        <v>438</v>
      </c>
      <c r="E13" s="34">
        <v>31</v>
      </c>
    </row>
    <row r="14" spans="1:5">
      <c r="A14">
        <v>1971</v>
      </c>
      <c r="B14" s="34">
        <v>88.1</v>
      </c>
      <c r="C14" s="34">
        <v>27.5</v>
      </c>
      <c r="D14" s="34">
        <v>438</v>
      </c>
      <c r="E14" s="34">
        <v>33.9</v>
      </c>
    </row>
    <row r="15" spans="1:5">
      <c r="A15">
        <v>1972</v>
      </c>
      <c r="B15" s="34">
        <v>97</v>
      </c>
      <c r="C15" s="34">
        <v>27.8</v>
      </c>
      <c r="D15" s="34">
        <v>507</v>
      </c>
      <c r="E15" s="34">
        <v>32.700000000000003</v>
      </c>
    </row>
    <row r="16" spans="1:5">
      <c r="A16">
        <v>1973</v>
      </c>
      <c r="B16" s="34">
        <v>91.3</v>
      </c>
      <c r="C16" s="34">
        <v>27.8</v>
      </c>
      <c r="D16" s="34">
        <v>520</v>
      </c>
      <c r="E16" s="34">
        <v>31.6</v>
      </c>
    </row>
    <row r="17" spans="1:5">
      <c r="A17">
        <v>1974</v>
      </c>
      <c r="B17" s="34">
        <v>71.900000000000006</v>
      </c>
      <c r="C17" s="34">
        <v>23.7</v>
      </c>
      <c r="D17" s="34">
        <v>442</v>
      </c>
      <c r="E17" s="34">
        <v>27.3</v>
      </c>
    </row>
    <row r="18" spans="1:5">
      <c r="A18">
        <v>1975</v>
      </c>
      <c r="B18" s="34">
        <v>86.4</v>
      </c>
      <c r="C18" s="34">
        <v>28.9</v>
      </c>
      <c r="D18" s="34">
        <v>453</v>
      </c>
      <c r="E18" s="34">
        <v>30.6</v>
      </c>
    </row>
    <row r="19" spans="1:5">
      <c r="A19">
        <v>1976</v>
      </c>
      <c r="B19" s="34">
        <v>88</v>
      </c>
      <c r="C19" s="34">
        <v>26.1</v>
      </c>
      <c r="D19" s="34">
        <v>465</v>
      </c>
      <c r="E19" s="34">
        <v>30.3</v>
      </c>
    </row>
    <row r="20" spans="1:5">
      <c r="A20">
        <v>1977</v>
      </c>
      <c r="B20" s="34">
        <v>90.8</v>
      </c>
      <c r="C20" s="34">
        <v>30.6</v>
      </c>
      <c r="D20" s="34">
        <v>520</v>
      </c>
      <c r="E20" s="34">
        <v>30.7</v>
      </c>
    </row>
    <row r="21" spans="1:5">
      <c r="A21">
        <v>1978</v>
      </c>
      <c r="B21" s="34">
        <v>101</v>
      </c>
      <c r="C21" s="34">
        <v>29.4</v>
      </c>
      <c r="D21" s="34">
        <v>420</v>
      </c>
      <c r="E21" s="34">
        <v>31.4</v>
      </c>
    </row>
    <row r="22" spans="1:5">
      <c r="A22">
        <v>1979</v>
      </c>
      <c r="B22" s="34">
        <v>109.5</v>
      </c>
      <c r="C22" s="34">
        <v>32.1</v>
      </c>
      <c r="D22" s="34">
        <v>547</v>
      </c>
      <c r="E22" s="34">
        <v>34.200000000000003</v>
      </c>
    </row>
    <row r="23" spans="1:5">
      <c r="A23">
        <v>1980</v>
      </c>
      <c r="B23" s="34">
        <v>91</v>
      </c>
      <c r="C23" s="34">
        <v>26.5</v>
      </c>
      <c r="D23" s="34">
        <v>404</v>
      </c>
      <c r="E23" s="34">
        <v>33.5</v>
      </c>
    </row>
    <row r="24" spans="1:5">
      <c r="A24">
        <v>1981</v>
      </c>
      <c r="B24" s="34">
        <v>108.9</v>
      </c>
      <c r="C24" s="34">
        <v>30.1</v>
      </c>
      <c r="D24" s="34">
        <v>542</v>
      </c>
      <c r="E24" s="34">
        <v>34.5</v>
      </c>
    </row>
    <row r="25" spans="1:5">
      <c r="A25">
        <v>1982</v>
      </c>
      <c r="B25" s="34">
        <v>113.2</v>
      </c>
      <c r="C25" s="34">
        <v>31.5</v>
      </c>
      <c r="D25" s="34">
        <v>590</v>
      </c>
      <c r="E25" s="34">
        <v>35.5</v>
      </c>
    </row>
    <row r="26" spans="1:5">
      <c r="A26">
        <v>1983</v>
      </c>
      <c r="B26" s="34">
        <v>81.099999999999994</v>
      </c>
      <c r="C26" s="34">
        <v>26.2</v>
      </c>
      <c r="D26" s="34">
        <v>508</v>
      </c>
      <c r="E26" s="34">
        <v>39.4</v>
      </c>
    </row>
    <row r="27" spans="1:5">
      <c r="A27">
        <v>1984</v>
      </c>
      <c r="B27" s="34">
        <v>106.7</v>
      </c>
      <c r="C27" s="34">
        <v>28.1</v>
      </c>
      <c r="D27" s="34">
        <v>600</v>
      </c>
      <c r="E27" s="34">
        <v>38.799999999999997</v>
      </c>
    </row>
    <row r="28" spans="1:5">
      <c r="A28">
        <v>1985</v>
      </c>
      <c r="B28" s="34">
        <v>118</v>
      </c>
      <c r="C28" s="34">
        <v>34.1</v>
      </c>
      <c r="D28" s="34">
        <v>630</v>
      </c>
      <c r="E28" s="34">
        <v>37.5</v>
      </c>
    </row>
    <row r="29" spans="1:5">
      <c r="A29">
        <v>1986</v>
      </c>
      <c r="B29" s="34">
        <v>119.4</v>
      </c>
      <c r="C29" s="34">
        <v>33.299999999999997</v>
      </c>
      <c r="D29" s="34">
        <v>552</v>
      </c>
      <c r="E29" s="34">
        <v>34.4</v>
      </c>
    </row>
    <row r="30" spans="1:5">
      <c r="A30">
        <v>1987</v>
      </c>
      <c r="B30" s="34">
        <v>119.8</v>
      </c>
      <c r="C30" s="34">
        <v>33.9</v>
      </c>
      <c r="D30" s="34">
        <v>706</v>
      </c>
      <c r="E30" s="34">
        <v>37.700000000000003</v>
      </c>
    </row>
    <row r="31" spans="1:5">
      <c r="A31">
        <v>1988</v>
      </c>
      <c r="B31" s="34">
        <v>84.6</v>
      </c>
      <c r="C31" s="34">
        <v>27</v>
      </c>
      <c r="D31" s="34">
        <v>619</v>
      </c>
      <c r="E31" s="34">
        <v>34.1</v>
      </c>
    </row>
    <row r="32" spans="1:5">
      <c r="A32">
        <v>1989</v>
      </c>
      <c r="B32" s="34">
        <v>116.3</v>
      </c>
      <c r="C32" s="34">
        <v>32.299999999999997</v>
      </c>
      <c r="D32" s="34">
        <v>614</v>
      </c>
      <c r="E32" s="34">
        <v>32.700000000000003</v>
      </c>
    </row>
    <row r="33" spans="1:5">
      <c r="A33">
        <v>1990</v>
      </c>
      <c r="B33" s="34">
        <v>118.5</v>
      </c>
      <c r="C33" s="34">
        <v>34.1</v>
      </c>
      <c r="D33" s="34">
        <v>634</v>
      </c>
      <c r="E33" s="34">
        <v>39.5</v>
      </c>
    </row>
    <row r="34" spans="1:5">
      <c r="A34">
        <v>1991</v>
      </c>
      <c r="B34" s="34">
        <v>108.6</v>
      </c>
      <c r="C34" s="34">
        <v>34.200000000000003</v>
      </c>
      <c r="D34" s="34">
        <v>652</v>
      </c>
      <c r="E34" s="34">
        <v>34.299999999999997</v>
      </c>
    </row>
    <row r="35" spans="1:5">
      <c r="A35">
        <v>1992</v>
      </c>
      <c r="B35" s="34">
        <v>131.5</v>
      </c>
      <c r="C35" s="34">
        <v>37.6</v>
      </c>
      <c r="D35" s="34">
        <v>700</v>
      </c>
      <c r="E35" s="34">
        <v>39.299999999999997</v>
      </c>
    </row>
    <row r="36" spans="1:5">
      <c r="A36">
        <v>1993</v>
      </c>
      <c r="B36" s="34">
        <v>100.7</v>
      </c>
      <c r="C36" s="34">
        <v>32.6</v>
      </c>
      <c r="D36" s="34">
        <v>606</v>
      </c>
      <c r="E36" s="34">
        <v>38.200000000000003</v>
      </c>
    </row>
    <row r="37" spans="1:5">
      <c r="A37">
        <v>1994</v>
      </c>
      <c r="B37" s="34">
        <v>138.6</v>
      </c>
      <c r="C37" s="34">
        <v>41.4</v>
      </c>
      <c r="D37" s="34">
        <v>708</v>
      </c>
      <c r="E37" s="34">
        <v>37.6</v>
      </c>
    </row>
    <row r="38" spans="1:5">
      <c r="A38">
        <v>1995</v>
      </c>
      <c r="B38" s="34">
        <v>113.5</v>
      </c>
      <c r="C38" s="34">
        <v>35.299999999999997</v>
      </c>
      <c r="D38" s="34">
        <v>537</v>
      </c>
      <c r="E38" s="34">
        <v>35.799999999999997</v>
      </c>
    </row>
    <row r="39" spans="1:5">
      <c r="A39">
        <v>1996</v>
      </c>
      <c r="B39" s="34">
        <v>127.1</v>
      </c>
      <c r="C39" s="34">
        <v>37.6</v>
      </c>
      <c r="D39" s="34">
        <v>705</v>
      </c>
      <c r="E39" s="34">
        <v>36.299999999999997</v>
      </c>
    </row>
    <row r="40" spans="1:5">
      <c r="A40">
        <v>1997</v>
      </c>
      <c r="B40" s="34">
        <v>126.7</v>
      </c>
      <c r="C40" s="34">
        <v>38.9</v>
      </c>
      <c r="D40" s="34">
        <v>673</v>
      </c>
      <c r="E40" s="34">
        <v>39.5</v>
      </c>
    </row>
    <row r="41" spans="1:5">
      <c r="A41">
        <v>1998</v>
      </c>
      <c r="B41" s="34">
        <v>134.4</v>
      </c>
      <c r="C41" s="34">
        <v>38.9</v>
      </c>
      <c r="D41" s="34">
        <v>625</v>
      </c>
      <c r="E41" s="34">
        <v>43.2</v>
      </c>
    </row>
    <row r="42" spans="1:5">
      <c r="A42">
        <v>1999</v>
      </c>
      <c r="B42" s="34">
        <v>133.80000000000001</v>
      </c>
      <c r="C42" s="34">
        <v>36.6</v>
      </c>
      <c r="D42" s="34">
        <v>607</v>
      </c>
      <c r="E42" s="34">
        <v>42.7</v>
      </c>
    </row>
    <row r="43" spans="1:5">
      <c r="A43">
        <v>2000</v>
      </c>
      <c r="B43" s="34">
        <v>136.9</v>
      </c>
      <c r="C43" s="34">
        <v>38.1</v>
      </c>
      <c r="D43" s="34">
        <v>632</v>
      </c>
      <c r="E43" s="34">
        <v>42</v>
      </c>
    </row>
    <row r="44" spans="1:5">
      <c r="A44">
        <v>2001</v>
      </c>
      <c r="B44" s="34">
        <v>138.19999999999999</v>
      </c>
      <c r="C44" s="34">
        <v>39.6</v>
      </c>
      <c r="D44" s="34">
        <v>705</v>
      </c>
      <c r="E44" s="34">
        <v>40.200000000000003</v>
      </c>
    </row>
    <row r="45" spans="1:5">
      <c r="A45">
        <v>2002</v>
      </c>
      <c r="B45" s="34">
        <v>129.30000000000001</v>
      </c>
      <c r="C45" s="34">
        <v>38</v>
      </c>
      <c r="D45" s="34">
        <v>665</v>
      </c>
      <c r="E45" s="34">
        <v>35</v>
      </c>
    </row>
    <row r="46" spans="1:5">
      <c r="A46">
        <v>2003</v>
      </c>
      <c r="B46" s="34">
        <v>142.19999999999999</v>
      </c>
      <c r="C46" s="34">
        <v>33.9</v>
      </c>
      <c r="D46" s="34">
        <v>730</v>
      </c>
      <c r="E46" s="34">
        <v>44.2</v>
      </c>
    </row>
    <row r="47" spans="1:5">
      <c r="A47">
        <v>2004</v>
      </c>
      <c r="B47" s="34">
        <v>160.30000000000001</v>
      </c>
      <c r="C47" s="34">
        <v>42.2</v>
      </c>
      <c r="D47" s="34">
        <v>855</v>
      </c>
      <c r="E47" s="34">
        <v>43.2</v>
      </c>
    </row>
    <row r="48" spans="1:5">
      <c r="A48">
        <v>2005</v>
      </c>
      <c r="B48" s="34">
        <v>147.9</v>
      </c>
      <c r="C48" s="34">
        <v>43.1</v>
      </c>
      <c r="D48" s="34">
        <v>831</v>
      </c>
      <c r="E48" s="34">
        <v>42</v>
      </c>
    </row>
    <row r="49" spans="1:5">
      <c r="A49">
        <v>2006</v>
      </c>
      <c r="B49" s="34">
        <v>149.1</v>
      </c>
      <c r="C49" s="34">
        <v>42.9</v>
      </c>
      <c r="D49" s="34">
        <v>814</v>
      </c>
      <c r="E49" s="34">
        <v>38.6</v>
      </c>
    </row>
    <row r="50" spans="1:5">
      <c r="A50">
        <v>2007</v>
      </c>
      <c r="B50" s="34">
        <v>150.69999999999999</v>
      </c>
      <c r="C50" s="34">
        <v>41.7</v>
      </c>
      <c r="D50" s="34">
        <v>879</v>
      </c>
      <c r="E50" s="34">
        <v>40.200000000000003</v>
      </c>
    </row>
    <row r="51" spans="1:5">
      <c r="A51">
        <v>2008</v>
      </c>
      <c r="B51" s="34">
        <v>153.30000000000001</v>
      </c>
      <c r="C51" s="34">
        <v>39.700000000000003</v>
      </c>
      <c r="D51" s="34">
        <v>813</v>
      </c>
      <c r="E51" s="34">
        <v>44.8</v>
      </c>
    </row>
    <row r="52" spans="1:5">
      <c r="A52">
        <v>2009</v>
      </c>
      <c r="B52" s="34">
        <v>164.4</v>
      </c>
      <c r="C52" s="34">
        <v>44</v>
      </c>
      <c r="D52" s="34">
        <v>776</v>
      </c>
      <c r="E52" s="34">
        <v>44.3</v>
      </c>
    </row>
    <row r="53" spans="1:5">
      <c r="A53">
        <v>2010</v>
      </c>
      <c r="B53" s="34">
        <v>152.6</v>
      </c>
      <c r="C53" s="34">
        <v>43.5</v>
      </c>
      <c r="D53" s="34">
        <v>812</v>
      </c>
      <c r="E53" s="34">
        <v>46.1</v>
      </c>
    </row>
    <row r="54" spans="1:5">
      <c r="A54">
        <v>2011</v>
      </c>
      <c r="B54" s="34">
        <v>146.80000000000001</v>
      </c>
      <c r="C54" s="34">
        <v>42</v>
      </c>
      <c r="D54" s="34">
        <v>790</v>
      </c>
      <c r="E54" s="34">
        <v>43.6</v>
      </c>
    </row>
    <row r="55" spans="1:5">
      <c r="A55">
        <v>2012</v>
      </c>
      <c r="B55" s="34">
        <v>123.1</v>
      </c>
      <c r="C55" s="34">
        <v>40</v>
      </c>
      <c r="D55" s="34">
        <v>892</v>
      </c>
      <c r="E55" s="34">
        <v>46.2</v>
      </c>
    </row>
    <row r="56" spans="1:5">
      <c r="A56">
        <v>2013</v>
      </c>
      <c r="B56" s="34">
        <v>158.1</v>
      </c>
      <c r="C56" s="34">
        <v>44</v>
      </c>
      <c r="D56" s="34">
        <v>821</v>
      </c>
      <c r="E56" s="34">
        <v>47.1</v>
      </c>
    </row>
    <row r="57" spans="1:5">
      <c r="A57">
        <v>2014</v>
      </c>
      <c r="B57" s="34">
        <v>171</v>
      </c>
      <c r="C57" s="34">
        <v>47.5</v>
      </c>
      <c r="D57" s="34">
        <v>838</v>
      </c>
      <c r="E57" s="34">
        <v>43.7</v>
      </c>
    </row>
    <row r="58" spans="1:5">
      <c r="A58">
        <v>2015</v>
      </c>
      <c r="B58" s="34">
        <v>168.4</v>
      </c>
      <c r="C58" s="34">
        <v>48</v>
      </c>
      <c r="D58" s="34">
        <v>766</v>
      </c>
      <c r="E58" s="34">
        <v>43.6</v>
      </c>
    </row>
    <row r="59" spans="1:5">
      <c r="B59" s="21" t="s">
        <v>38</v>
      </c>
      <c r="C59" s="21" t="s">
        <v>38</v>
      </c>
      <c r="D59" s="21" t="s">
        <v>38</v>
      </c>
      <c r="E59" s="21" t="s">
        <v>38</v>
      </c>
    </row>
    <row r="61" spans="1:5">
      <c r="A61" s="21" t="s">
        <v>52</v>
      </c>
    </row>
  </sheetData>
  <mergeCells count="1">
    <mergeCell ref="A1:E1"/>
  </mergeCells>
  <hyperlinks>
    <hyperlink ref="B59" r:id="rId1" xr:uid="{00000000-0004-0000-0100-000000000000}"/>
    <hyperlink ref="C59" r:id="rId2" xr:uid="{00000000-0004-0000-0100-000001000000}"/>
    <hyperlink ref="D59" r:id="rId3" xr:uid="{00000000-0004-0000-0100-000002000000}"/>
    <hyperlink ref="E59" r:id="rId4" xr:uid="{00000000-0004-0000-0100-000003000000}"/>
    <hyperlink ref="A61" r:id="rId5" location="C57CA751-B131-3065-9F7C-E7DE08D92F87" xr:uid="{00000000-0004-0000-0100-000004000000}"/>
  </hyperlinks>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77"/>
  <sheetViews>
    <sheetView showGridLines="0" zoomScaleNormal="100" workbookViewId="0"/>
  </sheetViews>
  <sheetFormatPr defaultRowHeight="15.5"/>
  <cols>
    <col min="1" max="4" width="11"/>
    <col min="5" max="5" width="16.75"/>
    <col min="6" max="6" width="11"/>
    <col min="7" max="7" width="21.6640625"/>
    <col min="8" max="1025" width="11"/>
  </cols>
  <sheetData>
    <row r="1" spans="1:19" ht="23.5">
      <c r="A1" s="66" t="s">
        <v>53</v>
      </c>
      <c r="B1" s="66"/>
      <c r="C1" s="66"/>
      <c r="D1" s="66"/>
      <c r="E1" s="66"/>
      <c r="F1" s="66"/>
      <c r="G1" s="66"/>
      <c r="H1" s="66"/>
      <c r="I1" s="66"/>
      <c r="J1" s="66"/>
      <c r="K1" s="66"/>
      <c r="L1" s="66"/>
      <c r="M1" s="66"/>
      <c r="N1" s="66"/>
      <c r="O1" s="66"/>
      <c r="P1" s="66"/>
      <c r="Q1" s="66"/>
      <c r="R1" s="66"/>
      <c r="S1" s="66"/>
    </row>
    <row r="2" spans="1:19">
      <c r="A2" s="35" t="s">
        <v>54</v>
      </c>
      <c r="G2" s="35" t="s">
        <v>55</v>
      </c>
    </row>
    <row r="3" spans="1:19">
      <c r="G3" t="s">
        <v>56</v>
      </c>
    </row>
    <row r="4" spans="1:19">
      <c r="A4" s="33" t="s">
        <v>57</v>
      </c>
      <c r="B4" t="s">
        <v>58</v>
      </c>
      <c r="G4" s="33" t="s">
        <v>59</v>
      </c>
      <c r="H4" t="s">
        <v>60</v>
      </c>
    </row>
    <row r="5" spans="1:19">
      <c r="B5" s="33">
        <v>1982</v>
      </c>
      <c r="C5" s="33">
        <v>1989</v>
      </c>
      <c r="D5" s="33">
        <v>1994</v>
      </c>
      <c r="H5" s="36" t="s">
        <v>61</v>
      </c>
    </row>
    <row r="6" spans="1:19">
      <c r="A6" s="33" t="s">
        <v>2</v>
      </c>
      <c r="B6">
        <v>0.36380000000000001</v>
      </c>
      <c r="C6">
        <v>0.34770000000000001</v>
      </c>
      <c r="D6">
        <v>0.34050000000000002</v>
      </c>
      <c r="H6" s="33">
        <v>1960</v>
      </c>
      <c r="I6" s="33">
        <v>1965</v>
      </c>
      <c r="J6" s="33">
        <v>1970</v>
      </c>
      <c r="K6" s="33">
        <v>1975</v>
      </c>
      <c r="L6" s="33">
        <v>1979</v>
      </c>
    </row>
    <row r="7" spans="1:19">
      <c r="A7" s="33" t="s">
        <v>49</v>
      </c>
      <c r="B7">
        <v>7.4200000000000002E-2</v>
      </c>
      <c r="C7">
        <v>8.0600000000000005E-2</v>
      </c>
      <c r="D7">
        <v>6.7400000000000002E-2</v>
      </c>
      <c r="G7" t="s">
        <v>62</v>
      </c>
      <c r="H7">
        <v>0.52400000000000002</v>
      </c>
      <c r="I7">
        <v>0.47499999999999998</v>
      </c>
      <c r="J7">
        <v>0.435</v>
      </c>
      <c r="K7">
        <v>0.42299999999999999</v>
      </c>
      <c r="L7">
        <v>0.46300000000000002</v>
      </c>
    </row>
    <row r="8" spans="1:19">
      <c r="A8" s="33" t="s">
        <v>50</v>
      </c>
      <c r="B8">
        <v>3.9899999999999998E-2</v>
      </c>
      <c r="C8">
        <v>1.5900000000000001E-2</v>
      </c>
      <c r="D8">
        <v>6.88E-2</v>
      </c>
      <c r="G8" t="s">
        <v>63</v>
      </c>
      <c r="H8">
        <v>0.125</v>
      </c>
      <c r="I8">
        <v>0.11600000000000001</v>
      </c>
      <c r="J8">
        <v>0.106</v>
      </c>
      <c r="K8">
        <v>7.1999999999999995E-2</v>
      </c>
      <c r="L8">
        <v>6.7000000000000004E-2</v>
      </c>
    </row>
    <row r="9" spans="1:19">
      <c r="A9" s="33" t="s">
        <v>51</v>
      </c>
      <c r="B9">
        <v>5.9900000000000002E-2</v>
      </c>
      <c r="C9">
        <v>4.3999999999999997E-2</v>
      </c>
      <c r="D9">
        <v>3.5999999999999997E-2</v>
      </c>
      <c r="G9" t="s">
        <v>49</v>
      </c>
      <c r="H9">
        <v>0</v>
      </c>
      <c r="I9">
        <v>6.0000000000000001E-3</v>
      </c>
      <c r="J9">
        <v>2.3E-2</v>
      </c>
      <c r="K9">
        <v>8.5999999999999993E-2</v>
      </c>
      <c r="L9">
        <v>0.10100000000000001</v>
      </c>
    </row>
    <row r="10" spans="1:19">
      <c r="A10" s="33" t="s">
        <v>64</v>
      </c>
      <c r="B10">
        <v>0.4622</v>
      </c>
      <c r="C10">
        <v>0.51170000000000004</v>
      </c>
      <c r="D10">
        <v>0.48730000000000001</v>
      </c>
      <c r="G10" t="s">
        <v>65</v>
      </c>
      <c r="H10">
        <v>2E-3</v>
      </c>
      <c r="I10">
        <v>5.1999999999999998E-2</v>
      </c>
      <c r="J10">
        <v>9.6000000000000002E-2</v>
      </c>
      <c r="K10">
        <v>0.129</v>
      </c>
      <c r="L10">
        <v>0.10199999999999999</v>
      </c>
    </row>
    <row r="11" spans="1:19">
      <c r="G11" t="s">
        <v>66</v>
      </c>
      <c r="H11">
        <v>7.1999999999999995E-2</v>
      </c>
      <c r="I11">
        <v>0.1</v>
      </c>
      <c r="J11">
        <v>9.5000000000000001E-2</v>
      </c>
      <c r="K11">
        <v>7.4999999999999997E-2</v>
      </c>
      <c r="L11">
        <v>7.1999999999999995E-2</v>
      </c>
    </row>
    <row r="12" spans="1:19">
      <c r="G12" t="s">
        <v>67</v>
      </c>
      <c r="H12">
        <v>0.27900000000000003</v>
      </c>
      <c r="I12">
        <v>0.246</v>
      </c>
      <c r="J12">
        <v>0.223</v>
      </c>
      <c r="K12">
        <v>0.17499999999999999</v>
      </c>
      <c r="L12">
        <v>0.17599999999999999</v>
      </c>
    </row>
    <row r="13" spans="1:19">
      <c r="A13" s="35" t="s">
        <v>68</v>
      </c>
      <c r="G13" t="s">
        <v>69</v>
      </c>
      <c r="H13">
        <v>2E-3</v>
      </c>
      <c r="I13">
        <v>4.0000000000000001E-3</v>
      </c>
      <c r="J13">
        <v>0.02</v>
      </c>
      <c r="K13">
        <v>4.1000000000000002E-2</v>
      </c>
      <c r="L13">
        <v>2.1000000000000001E-2</v>
      </c>
    </row>
    <row r="15" spans="1:19">
      <c r="A15" s="33" t="s">
        <v>70</v>
      </c>
      <c r="B15" t="s">
        <v>71</v>
      </c>
      <c r="G15" t="s">
        <v>72</v>
      </c>
    </row>
    <row r="16" spans="1:19">
      <c r="B16" s="33">
        <v>1961</v>
      </c>
      <c r="C16" s="36" t="s">
        <v>73</v>
      </c>
    </row>
    <row r="17" spans="1:20" ht="21">
      <c r="A17" s="37" t="s">
        <v>74</v>
      </c>
      <c r="B17">
        <v>107</v>
      </c>
      <c r="C17" s="38">
        <f t="shared" ref="C17:C31" si="0">B17/B$32</f>
        <v>0.14078947368421052</v>
      </c>
      <c r="M17" s="39" t="s">
        <v>75</v>
      </c>
    </row>
    <row r="18" spans="1:20">
      <c r="A18" s="37" t="s">
        <v>76</v>
      </c>
      <c r="B18">
        <v>20</v>
      </c>
      <c r="C18" s="38">
        <f t="shared" si="0"/>
        <v>2.6315789473684209E-2</v>
      </c>
      <c r="N18" s="40" t="s">
        <v>77</v>
      </c>
      <c r="O18" t="s">
        <v>78</v>
      </c>
    </row>
    <row r="19" spans="1:20">
      <c r="A19" t="s">
        <v>79</v>
      </c>
      <c r="B19">
        <v>17</v>
      </c>
      <c r="C19" s="38">
        <f t="shared" si="0"/>
        <v>2.2368421052631579E-2</v>
      </c>
      <c r="E19" s="41" t="s">
        <v>80</v>
      </c>
      <c r="O19" t="s">
        <v>81</v>
      </c>
    </row>
    <row r="20" spans="1:20">
      <c r="A20" s="37" t="s">
        <v>82</v>
      </c>
      <c r="B20">
        <v>21</v>
      </c>
      <c r="C20" s="38">
        <f t="shared" si="0"/>
        <v>2.763157894736842E-2</v>
      </c>
      <c r="F20" s="42">
        <f>(B18/(B18+B19))</f>
        <v>0.54054054054054057</v>
      </c>
      <c r="H20" s="37"/>
      <c r="I20" s="37"/>
      <c r="J20" s="37"/>
      <c r="N20" s="33" t="s">
        <v>2</v>
      </c>
      <c r="O20" s="33" t="s">
        <v>49</v>
      </c>
      <c r="P20" s="33" t="s">
        <v>50</v>
      </c>
      <c r="Q20" s="33" t="s">
        <v>51</v>
      </c>
      <c r="T20" s="33" t="s">
        <v>83</v>
      </c>
    </row>
    <row r="21" spans="1:20">
      <c r="A21" t="s">
        <v>84</v>
      </c>
      <c r="B21">
        <v>46</v>
      </c>
      <c r="C21" s="38">
        <f t="shared" si="0"/>
        <v>6.0526315789473685E-2</v>
      </c>
      <c r="M21" s="33" t="s">
        <v>47</v>
      </c>
      <c r="T21" s="36" t="s">
        <v>85</v>
      </c>
    </row>
    <row r="22" spans="1:20">
      <c r="A22" t="s">
        <v>86</v>
      </c>
      <c r="B22" s="43">
        <v>44</v>
      </c>
      <c r="C22" s="38">
        <f t="shared" si="0"/>
        <v>5.7894736842105263E-2</v>
      </c>
      <c r="E22" s="41" t="s">
        <v>87</v>
      </c>
      <c r="M22">
        <v>1960</v>
      </c>
      <c r="N22">
        <f>H7</f>
        <v>0.52400000000000002</v>
      </c>
      <c r="O22">
        <f>H9</f>
        <v>0</v>
      </c>
      <c r="P22" s="40">
        <f>H13</f>
        <v>2E-3</v>
      </c>
      <c r="Q22" s="40">
        <f>H10*F20</f>
        <v>1.0810810810810811E-3</v>
      </c>
      <c r="T22">
        <f>H13*F23</f>
        <v>1.1965811965811966E-4</v>
      </c>
    </row>
    <row r="23" spans="1:20">
      <c r="A23" t="s">
        <v>88</v>
      </c>
      <c r="B23" s="43">
        <v>96</v>
      </c>
      <c r="C23" s="38">
        <f t="shared" si="0"/>
        <v>0.12631578947368421</v>
      </c>
      <c r="F23" s="42">
        <f>B20/(B20+B22+B23+B25+B28+B29+B30+B31)</f>
        <v>5.9829059829059832E-2</v>
      </c>
      <c r="M23">
        <v>1961</v>
      </c>
      <c r="P23" s="40"/>
      <c r="Q23" s="40"/>
    </row>
    <row r="24" spans="1:20">
      <c r="A24" s="37" t="s">
        <v>49</v>
      </c>
      <c r="B24">
        <v>1</v>
      </c>
      <c r="C24" s="38">
        <f t="shared" si="0"/>
        <v>1.3157894736842105E-3</v>
      </c>
      <c r="M24">
        <v>1962</v>
      </c>
      <c r="P24" s="40"/>
      <c r="Q24" s="40"/>
    </row>
    <row r="25" spans="1:20">
      <c r="A25" t="s">
        <v>89</v>
      </c>
      <c r="B25" s="43">
        <v>3</v>
      </c>
      <c r="C25" s="38">
        <f t="shared" si="0"/>
        <v>3.9473684210526317E-3</v>
      </c>
      <c r="M25">
        <v>1963</v>
      </c>
      <c r="P25" s="40"/>
      <c r="Q25" s="40"/>
    </row>
    <row r="26" spans="1:20">
      <c r="A26" t="s">
        <v>90</v>
      </c>
      <c r="B26">
        <v>55</v>
      </c>
      <c r="C26" s="38">
        <f t="shared" si="0"/>
        <v>7.2368421052631582E-2</v>
      </c>
      <c r="M26">
        <v>1964</v>
      </c>
      <c r="P26" s="40"/>
      <c r="Q26" s="40"/>
    </row>
    <row r="27" spans="1:20">
      <c r="A27" t="s">
        <v>67</v>
      </c>
      <c r="B27">
        <v>163</v>
      </c>
      <c r="C27" s="38">
        <f t="shared" si="0"/>
        <v>0.21447368421052632</v>
      </c>
      <c r="M27">
        <v>1965</v>
      </c>
      <c r="N27">
        <f>I7</f>
        <v>0.47499999999999998</v>
      </c>
      <c r="O27">
        <f>I9</f>
        <v>6.0000000000000001E-3</v>
      </c>
      <c r="P27" s="40">
        <f>I13</f>
        <v>4.0000000000000001E-3</v>
      </c>
      <c r="Q27" s="40">
        <f>I10*F20</f>
        <v>2.8108108108108109E-2</v>
      </c>
      <c r="T27">
        <f>I13*F23</f>
        <v>2.3931623931623932E-4</v>
      </c>
    </row>
    <row r="28" spans="1:20">
      <c r="A28" t="s">
        <v>91</v>
      </c>
      <c r="B28" s="43">
        <v>35</v>
      </c>
      <c r="C28" s="38">
        <f t="shared" si="0"/>
        <v>4.6052631578947366E-2</v>
      </c>
      <c r="M28">
        <v>1966</v>
      </c>
      <c r="P28" s="40"/>
      <c r="Q28" s="40"/>
    </row>
    <row r="29" spans="1:20">
      <c r="A29" t="s">
        <v>92</v>
      </c>
      <c r="B29" s="43">
        <v>31</v>
      </c>
      <c r="C29" s="38">
        <f t="shared" si="0"/>
        <v>4.0789473684210528E-2</v>
      </c>
      <c r="M29">
        <v>1967</v>
      </c>
      <c r="P29" s="40"/>
      <c r="Q29" s="40"/>
    </row>
    <row r="30" spans="1:20">
      <c r="A30" t="s">
        <v>93</v>
      </c>
      <c r="B30" s="43">
        <v>4</v>
      </c>
      <c r="C30" s="38">
        <f t="shared" si="0"/>
        <v>5.263157894736842E-3</v>
      </c>
      <c r="M30">
        <v>1968</v>
      </c>
      <c r="P30" s="40"/>
      <c r="Q30" s="40"/>
    </row>
    <row r="31" spans="1:20">
      <c r="A31" t="s">
        <v>94</v>
      </c>
      <c r="B31" s="43">
        <v>117</v>
      </c>
      <c r="C31" s="38">
        <f t="shared" si="0"/>
        <v>0.15394736842105264</v>
      </c>
      <c r="M31">
        <v>1969</v>
      </c>
      <c r="P31" s="40"/>
      <c r="Q31" s="40"/>
    </row>
    <row r="32" spans="1:20">
      <c r="A32" t="s">
        <v>95</v>
      </c>
      <c r="B32" s="33">
        <f>SUM(B17:B31)</f>
        <v>760</v>
      </c>
      <c r="C32" s="44">
        <f>SUM(C17:C31)</f>
        <v>1</v>
      </c>
      <c r="M32">
        <v>1970</v>
      </c>
      <c r="N32">
        <f>J7</f>
        <v>0.435</v>
      </c>
      <c r="O32">
        <f>J9</f>
        <v>2.3E-2</v>
      </c>
      <c r="P32" s="40">
        <f>J13</f>
        <v>0.02</v>
      </c>
      <c r="Q32" s="40">
        <f>J10*F20</f>
        <v>5.1891891891891896E-2</v>
      </c>
      <c r="T32">
        <f>J13*F23</f>
        <v>1.1965811965811966E-3</v>
      </c>
    </row>
    <row r="33" spans="1:20">
      <c r="M33">
        <v>1971</v>
      </c>
      <c r="P33" s="40"/>
      <c r="Q33" s="40"/>
    </row>
    <row r="34" spans="1:20">
      <c r="A34" t="s">
        <v>96</v>
      </c>
      <c r="M34">
        <v>1972</v>
      </c>
      <c r="P34" s="40"/>
      <c r="Q34" s="40"/>
    </row>
    <row r="35" spans="1:20">
      <c r="M35">
        <v>1973</v>
      </c>
      <c r="P35" s="40"/>
      <c r="Q35" s="40"/>
    </row>
    <row r="36" spans="1:20">
      <c r="M36">
        <v>1974</v>
      </c>
      <c r="P36" s="40"/>
      <c r="Q36" s="40"/>
    </row>
    <row r="37" spans="1:20">
      <c r="M37">
        <v>1975</v>
      </c>
      <c r="N37">
        <f>K7</f>
        <v>0.42299999999999999</v>
      </c>
      <c r="O37">
        <f>K9</f>
        <v>8.5999999999999993E-2</v>
      </c>
      <c r="P37" s="40">
        <f>K13</f>
        <v>4.1000000000000002E-2</v>
      </c>
      <c r="Q37" s="40">
        <f>K10*F20</f>
        <v>6.9729729729729739E-2</v>
      </c>
      <c r="T37">
        <f>K13*F23</f>
        <v>2.4529914529914532E-3</v>
      </c>
    </row>
    <row r="38" spans="1:20">
      <c r="M38">
        <v>1976</v>
      </c>
      <c r="P38" s="40"/>
      <c r="Q38" s="40"/>
    </row>
    <row r="39" spans="1:20">
      <c r="M39">
        <v>1977</v>
      </c>
      <c r="P39" s="40"/>
      <c r="Q39" s="40"/>
    </row>
    <row r="40" spans="1:20">
      <c r="M40">
        <v>1978</v>
      </c>
      <c r="P40" s="40"/>
      <c r="Q40" s="40"/>
    </row>
    <row r="41" spans="1:20">
      <c r="M41">
        <v>1979</v>
      </c>
      <c r="N41">
        <f>L7</f>
        <v>0.46300000000000002</v>
      </c>
      <c r="O41">
        <f>L9</f>
        <v>0.10100000000000001</v>
      </c>
      <c r="P41" s="40">
        <f>L13</f>
        <v>2.1000000000000001E-2</v>
      </c>
      <c r="Q41" s="40">
        <f>L10*F20</f>
        <v>5.5135135135135134E-2</v>
      </c>
      <c r="T41">
        <f>L13*F23</f>
        <v>1.2564102564102566E-3</v>
      </c>
    </row>
    <row r="42" spans="1:20">
      <c r="M42">
        <v>1980</v>
      </c>
    </row>
    <row r="43" spans="1:20">
      <c r="A43" s="35" t="s">
        <v>97</v>
      </c>
      <c r="M43">
        <v>1981</v>
      </c>
    </row>
    <row r="44" spans="1:20" ht="49" customHeight="1">
      <c r="A44" s="67" t="s">
        <v>98</v>
      </c>
      <c r="B44" s="67"/>
      <c r="C44" s="67"/>
      <c r="D44" s="67"/>
      <c r="E44" s="67"/>
      <c r="F44" s="67"/>
      <c r="G44" s="67"/>
      <c r="H44" s="67"/>
      <c r="I44" s="67"/>
      <c r="J44" s="67"/>
      <c r="K44" s="67"/>
      <c r="M44">
        <v>1982</v>
      </c>
      <c r="N44">
        <f>B6</f>
        <v>0.36380000000000001</v>
      </c>
      <c r="O44">
        <f>B7</f>
        <v>7.4200000000000002E-2</v>
      </c>
      <c r="P44">
        <f>B8</f>
        <v>3.9899999999999998E-2</v>
      </c>
      <c r="Q44">
        <f>B9</f>
        <v>5.9900000000000002E-2</v>
      </c>
    </row>
    <row r="45" spans="1:20">
      <c r="A45" t="s">
        <v>99</v>
      </c>
      <c r="M45">
        <v>1983</v>
      </c>
    </row>
    <row r="46" spans="1:20">
      <c r="M46">
        <v>1984</v>
      </c>
    </row>
    <row r="47" spans="1:20">
      <c r="M47">
        <v>1985</v>
      </c>
    </row>
    <row r="48" spans="1:20">
      <c r="M48">
        <v>1986</v>
      </c>
    </row>
    <row r="49" spans="1:17">
      <c r="M49">
        <v>1987</v>
      </c>
    </row>
    <row r="50" spans="1:17">
      <c r="M50">
        <v>1988</v>
      </c>
    </row>
    <row r="51" spans="1:17">
      <c r="M51">
        <v>1989</v>
      </c>
      <c r="N51">
        <f>C6</f>
        <v>0.34770000000000001</v>
      </c>
      <c r="O51">
        <f>C7</f>
        <v>8.0600000000000005E-2</v>
      </c>
      <c r="P51">
        <f>C8</f>
        <v>1.5900000000000001E-2</v>
      </c>
      <c r="Q51">
        <f>C9</f>
        <v>4.3999999999999997E-2</v>
      </c>
    </row>
    <row r="52" spans="1:17">
      <c r="A52" s="35" t="s">
        <v>100</v>
      </c>
      <c r="M52">
        <v>1990</v>
      </c>
    </row>
    <row r="53" spans="1:17">
      <c r="A53" t="s">
        <v>101</v>
      </c>
      <c r="M53">
        <v>1991</v>
      </c>
    </row>
    <row r="54" spans="1:17" ht="294.5">
      <c r="A54" s="45" t="s">
        <v>102</v>
      </c>
      <c r="M54">
        <v>1992</v>
      </c>
    </row>
    <row r="55" spans="1:17">
      <c r="A55" t="s">
        <v>103</v>
      </c>
      <c r="M55">
        <v>1993</v>
      </c>
    </row>
    <row r="56" spans="1:17">
      <c r="M56">
        <v>1994</v>
      </c>
      <c r="N56">
        <f>D6</f>
        <v>0.34050000000000002</v>
      </c>
      <c r="O56">
        <f>D7</f>
        <v>6.7400000000000002E-2</v>
      </c>
      <c r="P56">
        <f>D8</f>
        <v>6.88E-2</v>
      </c>
      <c r="Q56">
        <f>D9</f>
        <v>3.5999999999999997E-2</v>
      </c>
    </row>
    <row r="57" spans="1:17">
      <c r="A57" s="46">
        <v>2001</v>
      </c>
      <c r="B57" t="s">
        <v>104</v>
      </c>
      <c r="C57" t="s">
        <v>105</v>
      </c>
      <c r="M57">
        <v>1995</v>
      </c>
    </row>
    <row r="58" spans="1:17">
      <c r="A58" t="s">
        <v>2</v>
      </c>
      <c r="B58">
        <v>715</v>
      </c>
      <c r="C58" s="42">
        <f>B58/B$62</f>
        <v>0.49148493753329547</v>
      </c>
      <c r="M58">
        <v>1996</v>
      </c>
    </row>
    <row r="59" spans="1:17">
      <c r="A59" t="s">
        <v>49</v>
      </c>
      <c r="B59">
        <v>171.6</v>
      </c>
      <c r="C59" s="42">
        <f>B59/B$62</f>
        <v>0.11795638500799091</v>
      </c>
      <c r="M59">
        <v>1997</v>
      </c>
    </row>
    <row r="60" spans="1:17">
      <c r="A60" t="s">
        <v>50</v>
      </c>
      <c r="B60">
        <v>122.5</v>
      </c>
      <c r="C60" s="42">
        <f>B60/B$62</f>
        <v>8.4205461325634542E-2</v>
      </c>
      <c r="M60">
        <v>1998</v>
      </c>
    </row>
    <row r="61" spans="1:17">
      <c r="A61" t="s">
        <v>51</v>
      </c>
      <c r="B61">
        <v>36</v>
      </c>
      <c r="C61" s="42">
        <f>B61/B$62</f>
        <v>2.4746094756921171E-2</v>
      </c>
      <c r="M61">
        <v>1999</v>
      </c>
    </row>
    <row r="62" spans="1:17">
      <c r="A62" s="33" t="s">
        <v>95</v>
      </c>
      <c r="B62">
        <v>1454.7750000000001</v>
      </c>
      <c r="M62">
        <v>2000</v>
      </c>
    </row>
    <row r="63" spans="1:17">
      <c r="M63">
        <v>2001</v>
      </c>
      <c r="N63" s="42">
        <f>C58</f>
        <v>0.49148493753329547</v>
      </c>
      <c r="O63" s="42">
        <f>C59</f>
        <v>0.11795638500799091</v>
      </c>
      <c r="P63" s="42">
        <f>C60</f>
        <v>8.4205461325634542E-2</v>
      </c>
      <c r="Q63" s="42">
        <f>C61</f>
        <v>2.4746094756921171E-2</v>
      </c>
    </row>
    <row r="64" spans="1:17">
      <c r="M64">
        <v>2002</v>
      </c>
    </row>
    <row r="65" spans="13:13">
      <c r="M65">
        <v>2003</v>
      </c>
    </row>
    <row r="66" spans="13:13">
      <c r="M66">
        <v>2004</v>
      </c>
    </row>
    <row r="67" spans="13:13">
      <c r="M67">
        <v>2005</v>
      </c>
    </row>
    <row r="68" spans="13:13">
      <c r="M68">
        <v>2006</v>
      </c>
    </row>
    <row r="69" spans="13:13">
      <c r="M69">
        <v>2007</v>
      </c>
    </row>
    <row r="70" spans="13:13">
      <c r="M70">
        <v>2008</v>
      </c>
    </row>
    <row r="71" spans="13:13">
      <c r="M71">
        <v>2009</v>
      </c>
    </row>
    <row r="72" spans="13:13">
      <c r="M72">
        <v>2010</v>
      </c>
    </row>
    <row r="73" spans="13:13">
      <c r="M73">
        <v>2011</v>
      </c>
    </row>
    <row r="74" spans="13:13">
      <c r="M74">
        <v>2012</v>
      </c>
    </row>
    <row r="75" spans="13:13">
      <c r="M75">
        <v>2013</v>
      </c>
    </row>
    <row r="76" spans="13:13">
      <c r="M76">
        <v>2014</v>
      </c>
    </row>
    <row r="77" spans="13:13">
      <c r="M77">
        <v>2015</v>
      </c>
    </row>
  </sheetData>
  <mergeCells count="2">
    <mergeCell ref="A1:S1"/>
    <mergeCell ref="A44:K44"/>
  </mergeCell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5"/>
  <sheetViews>
    <sheetView showGridLines="0" zoomScaleNormal="100" workbookViewId="0">
      <selection activeCell="G17" sqref="G17"/>
    </sheetView>
  </sheetViews>
  <sheetFormatPr defaultRowHeight="15.5"/>
  <cols>
    <col min="1" max="1" width="24.33203125"/>
    <col min="2" max="1025" width="11"/>
  </cols>
  <sheetData>
    <row r="1" spans="1:24" ht="23.5">
      <c r="A1" s="66" t="s">
        <v>106</v>
      </c>
      <c r="B1" s="66"/>
      <c r="C1" s="66"/>
      <c r="D1" s="66"/>
      <c r="E1" s="66"/>
      <c r="F1" s="66"/>
      <c r="G1" s="66"/>
      <c r="H1" s="66"/>
      <c r="I1" s="66"/>
      <c r="J1" s="66"/>
      <c r="K1" s="66"/>
      <c r="L1" s="66"/>
      <c r="M1" s="66"/>
      <c r="N1" s="66"/>
      <c r="O1" s="66"/>
      <c r="P1" s="66"/>
      <c r="Q1" s="66"/>
      <c r="R1" s="66"/>
      <c r="S1" s="66"/>
    </row>
    <row r="2" spans="1:24" ht="66" customHeight="1">
      <c r="F2" s="70" t="s">
        <v>107</v>
      </c>
      <c r="G2" s="70"/>
      <c r="H2" s="70"/>
      <c r="I2" s="70"/>
      <c r="J2" s="70"/>
      <c r="K2" s="70"/>
      <c r="L2" s="70"/>
      <c r="M2" s="70"/>
    </row>
    <row r="4" spans="1:24">
      <c r="A4" s="35" t="s">
        <v>108</v>
      </c>
      <c r="I4" s="35" t="s">
        <v>109</v>
      </c>
      <c r="O4" s="35" t="s">
        <v>110</v>
      </c>
    </row>
    <row r="5" spans="1:24">
      <c r="A5" s="43" t="s">
        <v>111</v>
      </c>
      <c r="I5" s="41" t="s">
        <v>112</v>
      </c>
      <c r="O5" s="47" t="s">
        <v>113</v>
      </c>
    </row>
    <row r="6" spans="1:24">
      <c r="J6" t="s">
        <v>114</v>
      </c>
    </row>
    <row r="7" spans="1:24">
      <c r="A7" s="33" t="s">
        <v>115</v>
      </c>
      <c r="B7" t="s">
        <v>116</v>
      </c>
      <c r="J7" s="33">
        <v>1969</v>
      </c>
      <c r="K7" s="33">
        <v>1984</v>
      </c>
      <c r="L7" s="33">
        <v>1997</v>
      </c>
      <c r="P7" s="33">
        <v>1969</v>
      </c>
      <c r="Q7" s="33">
        <v>1984</v>
      </c>
      <c r="R7" s="33">
        <v>1997</v>
      </c>
      <c r="S7" s="33">
        <v>2008</v>
      </c>
    </row>
    <row r="8" spans="1:24">
      <c r="A8" t="s">
        <v>2</v>
      </c>
      <c r="B8">
        <v>0.13</v>
      </c>
      <c r="I8" s="33" t="s">
        <v>2</v>
      </c>
      <c r="J8" s="48">
        <f>B64/B75</f>
        <v>7.975889852691366E-2</v>
      </c>
      <c r="K8" s="48">
        <f>C64/C75</f>
        <v>8.4624875261733165E-2</v>
      </c>
      <c r="L8" s="48">
        <f>D64/D75</f>
        <v>8.061798754789834E-2</v>
      </c>
      <c r="O8" s="33" t="s">
        <v>2</v>
      </c>
      <c r="P8" s="42">
        <f>'Private seed shares'!N27+(4/5)*('Private seed shares'!N32-'Private seed shares'!N27)</f>
        <v>0.443</v>
      </c>
      <c r="Q8" s="42">
        <f>'Private seed shares'!N44+(2/7)*('Private seed shares'!N51-'Private seed shares'!N44)</f>
        <v>0.35920000000000002</v>
      </c>
      <c r="R8" s="42">
        <f>'Private seed shares'!N56+(3/7)*('Private seed shares'!N63-'Private seed shares'!N56)</f>
        <v>0.40520783037141234</v>
      </c>
      <c r="S8" s="42">
        <f>'Private seed shares'!N63</f>
        <v>0.49148493753329547</v>
      </c>
    </row>
    <row r="9" spans="1:24">
      <c r="A9" t="s">
        <v>117</v>
      </c>
      <c r="B9">
        <v>0.18</v>
      </c>
      <c r="I9" s="33" t="s">
        <v>49</v>
      </c>
      <c r="J9" s="48">
        <f>B67/B75</f>
        <v>4.481967982866978E-2</v>
      </c>
      <c r="K9" s="48">
        <f>C67/C75</f>
        <v>9.9351937733615392E-2</v>
      </c>
      <c r="L9" s="48">
        <f>D67/D75</f>
        <v>7.0107097051326117E-2</v>
      </c>
      <c r="O9" s="33" t="s">
        <v>49</v>
      </c>
      <c r="P9" s="42">
        <f>'Private seed shares'!O27+(4/5)*('Private seed shares'!O32-'Private seed shares'!O27)</f>
        <v>1.9599999999999999E-2</v>
      </c>
      <c r="Q9" s="42">
        <f>'Private seed shares'!O44+(2/7)*('Private seed shares'!O51-'Private seed shares'!O44)</f>
        <v>7.6028571428571431E-2</v>
      </c>
      <c r="R9" s="42">
        <f>'Private seed shares'!O56+(3/7)*('Private seed shares'!O63-'Private seed shares'!O56)</f>
        <v>8.9067022146281816E-2</v>
      </c>
      <c r="S9" s="42">
        <f>'Private seed shares'!O63</f>
        <v>0.11795638500799091</v>
      </c>
      <c r="U9" s="33"/>
    </row>
    <row r="10" spans="1:24">
      <c r="A10" t="s">
        <v>118</v>
      </c>
      <c r="B10">
        <v>0.1</v>
      </c>
      <c r="I10" s="33" t="s">
        <v>50</v>
      </c>
      <c r="J10" s="48">
        <f>B69/B75</f>
        <v>0.15908454697129223</v>
      </c>
      <c r="K10" s="48">
        <f>C69/C75</f>
        <v>0.10514130392465976</v>
      </c>
      <c r="L10" s="48">
        <f>D69/D75</f>
        <v>9.3428523413251113E-2</v>
      </c>
      <c r="O10" s="33" t="s">
        <v>50</v>
      </c>
      <c r="P10" s="42">
        <f>'Private seed shares'!P27+(4/5)*('Private seed shares'!P32-'Private seed shares'!P27)</f>
        <v>1.6800000000000002E-2</v>
      </c>
      <c r="Q10" s="42">
        <f>'Private seed shares'!P44+(2/7)*('Private seed shares'!P51-'Private seed shares'!P44)</f>
        <v>3.3042857142857145E-2</v>
      </c>
      <c r="R10" s="42">
        <f>'Private seed shares'!P56+(3/7)*('Private seed shares'!P63-'Private seed shares'!P56)</f>
        <v>7.5402340568129084E-2</v>
      </c>
      <c r="S10" s="42">
        <f>'Private seed shares'!P63</f>
        <v>8.4205461325634542E-2</v>
      </c>
      <c r="U10" s="33"/>
    </row>
    <row r="11" spans="1:24">
      <c r="A11" t="s">
        <v>119</v>
      </c>
      <c r="B11">
        <v>0.09</v>
      </c>
      <c r="I11" s="33" t="s">
        <v>51</v>
      </c>
      <c r="J11" s="48">
        <f>B65/B75</f>
        <v>5.0809561399368236E-2</v>
      </c>
      <c r="K11" s="48">
        <f>C65/C75</f>
        <v>6.0110098899584581E-2</v>
      </c>
      <c r="L11" s="48">
        <f>D65/D75</f>
        <v>6.6036008707099136E-2</v>
      </c>
      <c r="O11" s="33" t="s">
        <v>51</v>
      </c>
      <c r="P11" s="42">
        <f>'Private seed shares'!Q27+(4/5)*('Private seed shares'!Q32-'Private seed shares'!Q27)</f>
        <v>4.7135135135135141E-2</v>
      </c>
      <c r="Q11" s="42">
        <f>'Private seed shares'!Q44+(2/7)*('Private seed shares'!Q51-'Private seed shares'!Q44)</f>
        <v>5.5357142857142855E-2</v>
      </c>
      <c r="R11" s="42">
        <f>'Private seed shares'!Q56+(3/7)*('Private seed shares'!Q63-'Private seed shares'!Q56)</f>
        <v>3.1176897752966216E-2</v>
      </c>
      <c r="S11" s="42">
        <f>'Private seed shares'!Q63</f>
        <v>2.4746094756921171E-2</v>
      </c>
    </row>
    <row r="12" spans="1:24">
      <c r="A12" t="s">
        <v>50</v>
      </c>
      <c r="B12">
        <v>0.05</v>
      </c>
    </row>
    <row r="13" spans="1:24">
      <c r="A13" t="s">
        <v>120</v>
      </c>
      <c r="B13">
        <v>0.27</v>
      </c>
      <c r="O13" s="71" t="s">
        <v>121</v>
      </c>
      <c r="P13" s="71"/>
      <c r="Q13" s="71"/>
      <c r="R13" s="49" t="s">
        <v>122</v>
      </c>
      <c r="S13" s="50" t="s">
        <v>2</v>
      </c>
      <c r="T13" s="50" t="s">
        <v>49</v>
      </c>
      <c r="U13" s="50" t="s">
        <v>50</v>
      </c>
      <c r="V13" s="50" t="s">
        <v>51</v>
      </c>
    </row>
    <row r="14" spans="1:24">
      <c r="A14" t="s">
        <v>64</v>
      </c>
      <c r="B14">
        <v>0.18</v>
      </c>
      <c r="O14" s="51" t="s">
        <v>123</v>
      </c>
      <c r="P14" s="52"/>
      <c r="Q14" s="52"/>
      <c r="R14" s="50">
        <v>1969</v>
      </c>
      <c r="S14" s="53">
        <f>AVERAGE(J8,P8)</f>
        <v>0.26137944926345685</v>
      </c>
      <c r="T14" s="53">
        <f>AVERAGE(J9,P9)</f>
        <v>3.220983991433489E-2</v>
      </c>
      <c r="U14" s="53">
        <f>AVERAGE(J10,P10)</f>
        <v>8.7942273485646122E-2</v>
      </c>
      <c r="V14" s="53">
        <f>AVERAGE(J11,P11)</f>
        <v>4.8972348267251692E-2</v>
      </c>
      <c r="W14" s="42"/>
      <c r="X14" s="42"/>
    </row>
    <row r="15" spans="1:24">
      <c r="O15" s="52" t="s">
        <v>124</v>
      </c>
      <c r="P15" s="52"/>
      <c r="Q15" s="52"/>
      <c r="R15" s="50">
        <v>1984</v>
      </c>
      <c r="S15" s="53">
        <f>AVERAGE(K8,Q8)</f>
        <v>0.2219124376308666</v>
      </c>
      <c r="T15" s="53">
        <f>AVERAGE(K9,Q9)</f>
        <v>8.7690254581093419E-2</v>
      </c>
      <c r="U15" s="53">
        <f>AVERAGE(K10,Q10)</f>
        <v>6.9092080533758454E-2</v>
      </c>
      <c r="V15" s="53">
        <f>AVERAGE(K11,Q11)</f>
        <v>5.7733620878363714E-2</v>
      </c>
    </row>
    <row r="16" spans="1:24">
      <c r="O16" s="52"/>
      <c r="P16" s="52"/>
      <c r="Q16" s="52"/>
      <c r="R16" s="50">
        <v>1997</v>
      </c>
      <c r="S16" s="53">
        <f>AVERAGE(L8,R8)</f>
        <v>0.24291290895965534</v>
      </c>
      <c r="T16" s="53">
        <f>AVERAGE(L9,R9)</f>
        <v>7.9587059598803966E-2</v>
      </c>
      <c r="U16" s="53">
        <f>AVERAGE(L10,R10)</f>
        <v>8.4415431990690099E-2</v>
      </c>
      <c r="V16" s="53">
        <f>AVERAGE(L11,R11)</f>
        <v>4.8606453230032674E-2</v>
      </c>
    </row>
    <row r="17" spans="1:22">
      <c r="O17" s="52"/>
      <c r="P17" s="52"/>
      <c r="Q17" s="52"/>
      <c r="R17" s="50">
        <v>2008</v>
      </c>
      <c r="S17" s="53">
        <f>AVERAGE(B8,S8)</f>
        <v>0.31074246876664774</v>
      </c>
      <c r="T17" s="53">
        <f>AVERAGE(B10,S9)</f>
        <v>0.10897819250399546</v>
      </c>
      <c r="U17" s="53">
        <f>AVERAGE(B12,S10)</f>
        <v>6.7102730662817273E-2</v>
      </c>
      <c r="V17" s="53">
        <f>AVERAGE(B9*(D65/(D65+D66)),S11)</f>
        <v>6.0677096007922898E-2</v>
      </c>
    </row>
    <row r="20" spans="1:22" ht="18.5">
      <c r="A20" s="54" t="s">
        <v>125</v>
      </c>
    </row>
    <row r="21" spans="1:22">
      <c r="A21" t="s">
        <v>126</v>
      </c>
    </row>
    <row r="22" spans="1:22">
      <c r="B22" s="69">
        <v>1969</v>
      </c>
      <c r="C22" s="69"/>
      <c r="D22" s="69"/>
      <c r="E22" s="69"/>
      <c r="F22" s="69"/>
      <c r="G22" s="69">
        <v>1984</v>
      </c>
      <c r="H22" s="69"/>
      <c r="I22" s="69"/>
      <c r="J22" s="69"/>
      <c r="K22" s="69"/>
      <c r="L22" s="69">
        <v>1997</v>
      </c>
      <c r="M22" s="69"/>
      <c r="N22" s="69"/>
      <c r="O22" s="69"/>
      <c r="P22" s="69"/>
    </row>
    <row r="23" spans="1:22">
      <c r="A23" t="s">
        <v>127</v>
      </c>
      <c r="B23" t="s">
        <v>128</v>
      </c>
      <c r="E23" t="s">
        <v>129</v>
      </c>
      <c r="F23" t="s">
        <v>130</v>
      </c>
      <c r="G23" t="s">
        <v>128</v>
      </c>
      <c r="J23" t="s">
        <v>129</v>
      </c>
      <c r="K23" t="s">
        <v>130</v>
      </c>
      <c r="L23" t="s">
        <v>128</v>
      </c>
      <c r="O23" t="s">
        <v>129</v>
      </c>
      <c r="P23" t="s">
        <v>130</v>
      </c>
    </row>
    <row r="24" spans="1:22">
      <c r="A24" t="s">
        <v>131</v>
      </c>
      <c r="B24" t="s">
        <v>132</v>
      </c>
      <c r="C24" t="s">
        <v>133</v>
      </c>
      <c r="D24" t="s">
        <v>134</v>
      </c>
      <c r="E24" t="s">
        <v>135</v>
      </c>
      <c r="F24" t="s">
        <v>136</v>
      </c>
      <c r="G24" t="s">
        <v>132</v>
      </c>
      <c r="H24" t="s">
        <v>133</v>
      </c>
      <c r="I24" t="s">
        <v>134</v>
      </c>
      <c r="J24" t="s">
        <v>135</v>
      </c>
      <c r="K24" t="s">
        <v>136</v>
      </c>
      <c r="L24" t="s">
        <v>132</v>
      </c>
      <c r="M24" t="s">
        <v>133</v>
      </c>
      <c r="N24" t="s">
        <v>134</v>
      </c>
      <c r="O24" t="s">
        <v>135</v>
      </c>
      <c r="P24" t="s">
        <v>136</v>
      </c>
    </row>
    <row r="25" spans="1:22">
      <c r="A25" t="s">
        <v>137</v>
      </c>
      <c r="B25" s="68" t="s">
        <v>138</v>
      </c>
      <c r="C25" s="68"/>
      <c r="D25" s="68"/>
      <c r="E25" s="68"/>
      <c r="F25" s="68"/>
      <c r="G25" s="68"/>
      <c r="H25" s="68"/>
      <c r="I25" s="68"/>
      <c r="J25" s="68"/>
      <c r="K25" s="68"/>
      <c r="L25" s="68"/>
      <c r="M25" s="68"/>
      <c r="N25" s="68"/>
      <c r="O25" s="68"/>
      <c r="P25" s="68"/>
    </row>
    <row r="26" spans="1:22">
      <c r="A26" t="s">
        <v>2</v>
      </c>
      <c r="B26">
        <v>36.4</v>
      </c>
      <c r="C26">
        <v>1.9</v>
      </c>
      <c r="D26" s="55">
        <v>2</v>
      </c>
      <c r="E26" s="55">
        <v>28.6</v>
      </c>
      <c r="F26" s="55">
        <v>25.7</v>
      </c>
      <c r="G26" s="55">
        <v>43.5</v>
      </c>
      <c r="H26" s="55">
        <v>1.7</v>
      </c>
      <c r="I26" s="55">
        <v>6.7</v>
      </c>
      <c r="J26" s="55">
        <v>33.799999999999997</v>
      </c>
      <c r="K26" s="55">
        <v>6.3</v>
      </c>
      <c r="L26" s="55">
        <v>36.1</v>
      </c>
      <c r="M26" s="55">
        <v>0.9</v>
      </c>
      <c r="N26" s="55">
        <v>7.4</v>
      </c>
      <c r="O26" s="55">
        <v>27.5</v>
      </c>
      <c r="P26" s="55">
        <v>18.100000000000001</v>
      </c>
      <c r="R26" s="55"/>
      <c r="S26" s="55"/>
    </row>
    <row r="27" spans="1:22">
      <c r="A27" t="s">
        <v>51</v>
      </c>
      <c r="B27">
        <v>31.3</v>
      </c>
      <c r="C27">
        <v>0.5</v>
      </c>
      <c r="D27" s="55">
        <v>5.4</v>
      </c>
      <c r="E27" s="55">
        <v>21.6</v>
      </c>
      <c r="F27" s="55">
        <v>30.2</v>
      </c>
      <c r="G27" s="55">
        <v>48.7</v>
      </c>
      <c r="H27" s="55">
        <v>0.5</v>
      </c>
      <c r="I27" s="55">
        <v>10</v>
      </c>
      <c r="J27" s="55">
        <v>28</v>
      </c>
      <c r="K27" s="55">
        <v>8.5</v>
      </c>
      <c r="L27" s="55">
        <v>42.6</v>
      </c>
      <c r="M27" s="55">
        <v>1.1000000000000001</v>
      </c>
      <c r="N27" s="55">
        <v>9.3000000000000007</v>
      </c>
      <c r="O27" s="55">
        <v>27.7</v>
      </c>
      <c r="P27" s="55">
        <v>15.4</v>
      </c>
    </row>
    <row r="28" spans="1:22">
      <c r="A28" t="s">
        <v>79</v>
      </c>
      <c r="B28">
        <v>49.5</v>
      </c>
      <c r="C28">
        <v>1.1000000000000001</v>
      </c>
      <c r="D28" s="55">
        <v>3.4</v>
      </c>
      <c r="E28" s="55">
        <v>24.1</v>
      </c>
      <c r="F28" s="55">
        <v>14.8</v>
      </c>
      <c r="G28" s="55">
        <v>49.7</v>
      </c>
      <c r="H28" s="55">
        <v>0.7</v>
      </c>
      <c r="I28" s="55">
        <v>8.1</v>
      </c>
      <c r="J28" s="55">
        <v>29</v>
      </c>
      <c r="K28" s="55">
        <v>8.5</v>
      </c>
      <c r="L28" s="55">
        <v>49</v>
      </c>
      <c r="M28" s="55">
        <v>0.7</v>
      </c>
      <c r="N28" s="55">
        <v>7.1</v>
      </c>
      <c r="O28" s="55">
        <v>28.8</v>
      </c>
      <c r="P28" s="55">
        <v>10.5</v>
      </c>
    </row>
    <row r="29" spans="1:22">
      <c r="A29" t="s">
        <v>49</v>
      </c>
      <c r="B29">
        <v>39.1</v>
      </c>
      <c r="C29">
        <v>1.3</v>
      </c>
      <c r="D29" s="55">
        <v>1.7</v>
      </c>
      <c r="E29" s="55">
        <v>27.2</v>
      </c>
      <c r="F29" s="55">
        <v>20</v>
      </c>
      <c r="G29" s="55">
        <v>43.7</v>
      </c>
      <c r="H29" s="55">
        <v>1.9</v>
      </c>
      <c r="I29" s="55">
        <v>7.2</v>
      </c>
      <c r="J29" s="55">
        <v>35.4</v>
      </c>
      <c r="K29" s="55">
        <v>7.5</v>
      </c>
      <c r="L29" s="55">
        <v>42.5</v>
      </c>
      <c r="M29" s="55">
        <v>1.3</v>
      </c>
      <c r="N29" s="55">
        <v>7.6</v>
      </c>
      <c r="O29" s="55">
        <v>28.5</v>
      </c>
      <c r="P29" s="55">
        <v>15.7</v>
      </c>
    </row>
    <row r="30" spans="1:22">
      <c r="A30" t="s">
        <v>139</v>
      </c>
      <c r="B30">
        <v>26</v>
      </c>
      <c r="C30">
        <v>5.3</v>
      </c>
      <c r="D30" s="55">
        <v>3.8</v>
      </c>
      <c r="E30" s="55">
        <v>18.399999999999999</v>
      </c>
      <c r="F30" s="55">
        <v>28.6</v>
      </c>
      <c r="G30" s="55">
        <v>33.299999999999997</v>
      </c>
      <c r="H30" s="55">
        <v>3</v>
      </c>
      <c r="I30" s="55">
        <v>7.6</v>
      </c>
      <c r="J30" s="55">
        <v>32.5</v>
      </c>
      <c r="K30" s="55">
        <v>16.899999999999999</v>
      </c>
      <c r="L30" s="55">
        <v>39.6</v>
      </c>
      <c r="M30" s="55">
        <v>0.2</v>
      </c>
      <c r="N30" s="55">
        <v>8.6999999999999993</v>
      </c>
      <c r="O30" s="55">
        <v>21.1</v>
      </c>
      <c r="P30" s="55">
        <v>21.4</v>
      </c>
    </row>
    <row r="31" spans="1:22">
      <c r="A31" t="s">
        <v>50</v>
      </c>
      <c r="B31">
        <v>20</v>
      </c>
      <c r="C31">
        <v>10.3</v>
      </c>
      <c r="D31" s="55">
        <v>5.5</v>
      </c>
      <c r="E31" s="55">
        <v>32.200000000000003</v>
      </c>
      <c r="F31" s="55">
        <v>26.6</v>
      </c>
      <c r="G31" s="55">
        <v>20.3</v>
      </c>
      <c r="H31" s="55">
        <v>4.2</v>
      </c>
      <c r="I31" s="55">
        <v>7.8</v>
      </c>
      <c r="J31" s="55">
        <v>42.5</v>
      </c>
      <c r="K31" s="55">
        <v>13.1</v>
      </c>
      <c r="L31" s="55">
        <v>24.6</v>
      </c>
      <c r="M31" s="55">
        <v>3.1</v>
      </c>
      <c r="N31" s="55">
        <v>12.9</v>
      </c>
      <c r="O31" s="55">
        <v>42.5</v>
      </c>
      <c r="P31" s="55">
        <v>12.5</v>
      </c>
    </row>
    <row r="32" spans="1:22">
      <c r="A32" t="s">
        <v>140</v>
      </c>
      <c r="B32">
        <v>71.2</v>
      </c>
      <c r="C32">
        <v>2.5</v>
      </c>
      <c r="D32" s="55">
        <v>1.9</v>
      </c>
      <c r="E32" s="55">
        <v>17.8</v>
      </c>
      <c r="F32" s="55">
        <v>2.9</v>
      </c>
      <c r="G32" s="55">
        <v>59</v>
      </c>
      <c r="H32" s="55">
        <v>1.6</v>
      </c>
      <c r="I32" s="55">
        <v>7.6</v>
      </c>
      <c r="J32" s="55">
        <v>23.6</v>
      </c>
      <c r="K32" s="55">
        <v>2</v>
      </c>
      <c r="L32" s="55">
        <v>56.3</v>
      </c>
      <c r="M32" s="55">
        <v>0.4</v>
      </c>
      <c r="N32" s="55">
        <v>12.1</v>
      </c>
      <c r="O32" s="55">
        <v>20.8</v>
      </c>
      <c r="P32" s="55">
        <v>1.7</v>
      </c>
    </row>
    <row r="33" spans="1:16">
      <c r="A33" t="s">
        <v>141</v>
      </c>
      <c r="B33">
        <v>39.9</v>
      </c>
      <c r="C33">
        <v>4.0999999999999996</v>
      </c>
      <c r="D33" s="55">
        <v>2.6</v>
      </c>
      <c r="E33" s="55">
        <v>33.299999999999997</v>
      </c>
      <c r="F33" s="55">
        <v>4</v>
      </c>
      <c r="G33" s="55">
        <v>38.200000000000003</v>
      </c>
      <c r="H33" s="55">
        <v>5</v>
      </c>
      <c r="I33" s="55">
        <v>4</v>
      </c>
      <c r="J33" s="55">
        <v>29.4</v>
      </c>
      <c r="K33" s="55">
        <v>7.3</v>
      </c>
      <c r="L33" s="55">
        <v>36.9</v>
      </c>
      <c r="M33" s="55">
        <v>2.4</v>
      </c>
      <c r="N33" s="55">
        <v>5.9</v>
      </c>
      <c r="O33" s="55">
        <v>43.7</v>
      </c>
      <c r="P33" s="55">
        <v>9.1999999999999993</v>
      </c>
    </row>
    <row r="34" spans="1:16">
      <c r="A34" t="s">
        <v>90</v>
      </c>
      <c r="B34">
        <v>25.1</v>
      </c>
      <c r="C34">
        <v>2.6</v>
      </c>
      <c r="D34" s="55">
        <v>8.6</v>
      </c>
      <c r="E34" s="55">
        <v>29.7</v>
      </c>
      <c r="F34" s="55">
        <v>27.1</v>
      </c>
      <c r="G34" s="55">
        <v>37.799999999999997</v>
      </c>
      <c r="H34" s="55">
        <v>0.3</v>
      </c>
      <c r="I34" s="55">
        <v>3.8</v>
      </c>
      <c r="J34" s="55">
        <v>40.799999999999997</v>
      </c>
      <c r="K34" s="55">
        <v>15</v>
      </c>
      <c r="L34" s="55">
        <v>29.9</v>
      </c>
      <c r="M34" s="55">
        <v>0.2</v>
      </c>
      <c r="N34" s="55">
        <v>4</v>
      </c>
      <c r="O34" s="55">
        <v>54.1</v>
      </c>
      <c r="P34" s="55">
        <v>8.8000000000000007</v>
      </c>
    </row>
    <row r="35" spans="1:16">
      <c r="A35" t="s">
        <v>142</v>
      </c>
      <c r="B35">
        <v>18.899999999999999</v>
      </c>
      <c r="C35">
        <v>2.7</v>
      </c>
      <c r="D35" s="55">
        <v>11.3</v>
      </c>
      <c r="E35" s="55">
        <v>17.7</v>
      </c>
      <c r="F35" s="55">
        <v>10.3</v>
      </c>
      <c r="G35" s="55">
        <v>31.3</v>
      </c>
      <c r="H35" s="55">
        <v>2.6</v>
      </c>
      <c r="I35" s="55">
        <v>18.899999999999999</v>
      </c>
      <c r="J35" s="55">
        <v>32.700000000000003</v>
      </c>
      <c r="K35" s="55">
        <v>10</v>
      </c>
      <c r="L35" s="55">
        <v>27.5</v>
      </c>
      <c r="M35" s="55">
        <v>0.9</v>
      </c>
      <c r="N35" s="55">
        <v>19</v>
      </c>
      <c r="O35" s="55">
        <v>37.799999999999997</v>
      </c>
      <c r="P35" s="55">
        <v>9.4</v>
      </c>
    </row>
    <row r="36" spans="1:16">
      <c r="A36" t="s">
        <v>143</v>
      </c>
      <c r="B36">
        <v>0</v>
      </c>
      <c r="C36">
        <v>0</v>
      </c>
      <c r="D36" s="55">
        <v>0</v>
      </c>
      <c r="E36" s="55">
        <v>0</v>
      </c>
      <c r="F36" s="55">
        <v>0</v>
      </c>
      <c r="G36" s="55">
        <v>51.9</v>
      </c>
      <c r="H36" s="55">
        <v>1</v>
      </c>
      <c r="I36" s="55">
        <v>8.6</v>
      </c>
      <c r="J36" s="55">
        <v>14.2</v>
      </c>
      <c r="K36" s="55">
        <v>2.5</v>
      </c>
      <c r="L36" s="55">
        <v>25.2</v>
      </c>
      <c r="M36" s="55">
        <v>0.7</v>
      </c>
      <c r="N36" s="55">
        <v>7.2</v>
      </c>
      <c r="O36" s="55">
        <v>31.8</v>
      </c>
      <c r="P36" s="55">
        <v>2.6</v>
      </c>
    </row>
    <row r="38" spans="1:16">
      <c r="A38" t="s">
        <v>144</v>
      </c>
    </row>
    <row r="39" spans="1:16">
      <c r="A39" t="s">
        <v>145</v>
      </c>
    </row>
    <row r="41" spans="1:16">
      <c r="A41" t="s">
        <v>146</v>
      </c>
    </row>
    <row r="42" spans="1:16">
      <c r="B42" s="69">
        <v>1969</v>
      </c>
      <c r="C42" s="69"/>
      <c r="D42" s="69">
        <v>1984</v>
      </c>
      <c r="E42" s="69"/>
      <c r="F42" s="69">
        <v>1997</v>
      </c>
      <c r="G42" s="69"/>
    </row>
    <row r="43" spans="1:16">
      <c r="A43" t="s">
        <v>137</v>
      </c>
      <c r="B43" s="56" t="s">
        <v>95</v>
      </c>
      <c r="C43" s="56" t="s">
        <v>147</v>
      </c>
      <c r="D43" s="56" t="s">
        <v>95</v>
      </c>
      <c r="E43" s="56" t="s">
        <v>147</v>
      </c>
      <c r="F43" s="56" t="s">
        <v>95</v>
      </c>
      <c r="G43" s="56" t="s">
        <v>147</v>
      </c>
    </row>
    <row r="44" spans="1:16">
      <c r="A44" t="s">
        <v>2</v>
      </c>
      <c r="B44" s="57">
        <v>32483</v>
      </c>
      <c r="C44" s="55">
        <v>2.6</v>
      </c>
      <c r="D44" s="57">
        <v>47667</v>
      </c>
      <c r="E44" s="55">
        <v>2.7</v>
      </c>
      <c r="F44" s="57">
        <v>101391</v>
      </c>
      <c r="G44" s="55">
        <v>3.2</v>
      </c>
    </row>
    <row r="45" spans="1:16">
      <c r="A45" t="s">
        <v>51</v>
      </c>
      <c r="B45" s="57">
        <v>27399</v>
      </c>
      <c r="C45" s="55">
        <v>2.2000000000000002</v>
      </c>
      <c r="D45" s="57">
        <v>40872</v>
      </c>
      <c r="E45" s="55">
        <v>2.2999999999999998</v>
      </c>
      <c r="F45" s="57">
        <v>82452</v>
      </c>
      <c r="G45" s="55">
        <v>2.6</v>
      </c>
    </row>
    <row r="46" spans="1:16">
      <c r="A46" t="s">
        <v>148</v>
      </c>
      <c r="B46" s="57">
        <v>25616</v>
      </c>
      <c r="C46" s="55">
        <v>2</v>
      </c>
      <c r="D46" s="57">
        <v>40238</v>
      </c>
      <c r="E46" s="55">
        <v>2.2000000000000002</v>
      </c>
      <c r="F46" s="57">
        <v>68454</v>
      </c>
      <c r="G46" s="55">
        <v>2.1</v>
      </c>
    </row>
    <row r="47" spans="1:16">
      <c r="A47" t="s">
        <v>49</v>
      </c>
      <c r="B47" s="57">
        <v>19193</v>
      </c>
      <c r="C47" s="55">
        <v>1.5</v>
      </c>
      <c r="D47" s="57">
        <v>53433</v>
      </c>
      <c r="E47" s="55">
        <v>3</v>
      </c>
      <c r="F47" s="57">
        <v>85078</v>
      </c>
      <c r="G47" s="55">
        <v>2.7</v>
      </c>
    </row>
    <row r="48" spans="1:16">
      <c r="A48" t="s">
        <v>149</v>
      </c>
      <c r="B48" s="57">
        <v>17316</v>
      </c>
      <c r="C48" s="55">
        <v>1.4</v>
      </c>
      <c r="D48" s="57">
        <v>18365</v>
      </c>
      <c r="E48" s="55">
        <v>1</v>
      </c>
      <c r="F48" s="57">
        <v>35257</v>
      </c>
      <c r="G48" s="55">
        <v>1.1000000000000001</v>
      </c>
    </row>
    <row r="49" spans="1:16">
      <c r="A49" t="s">
        <v>50</v>
      </c>
      <c r="B49" s="57">
        <v>57546</v>
      </c>
      <c r="C49" s="55">
        <v>4.5</v>
      </c>
      <c r="D49" s="57">
        <v>47100</v>
      </c>
      <c r="E49" s="55">
        <v>2.6</v>
      </c>
      <c r="F49" s="57">
        <v>76031</v>
      </c>
      <c r="G49" s="55">
        <v>2.4</v>
      </c>
    </row>
    <row r="50" spans="1:16">
      <c r="A50" t="s">
        <v>140</v>
      </c>
      <c r="B50" s="57">
        <v>54822</v>
      </c>
      <c r="C50" s="55">
        <v>4.3</v>
      </c>
      <c r="D50" s="57">
        <v>83280</v>
      </c>
      <c r="E50" s="55">
        <v>4.7</v>
      </c>
      <c r="F50" s="57">
        <v>117561</v>
      </c>
      <c r="G50" s="55">
        <v>3.7</v>
      </c>
    </row>
    <row r="51" spans="1:16">
      <c r="A51" t="s">
        <v>150</v>
      </c>
      <c r="B51" s="57">
        <v>33545</v>
      </c>
      <c r="C51" s="55">
        <v>2.6</v>
      </c>
      <c r="D51" s="57">
        <v>30955</v>
      </c>
      <c r="E51" s="55">
        <v>1.7</v>
      </c>
      <c r="F51" s="57">
        <v>32432</v>
      </c>
      <c r="G51" s="55">
        <v>1</v>
      </c>
    </row>
    <row r="52" spans="1:16">
      <c r="A52" t="s">
        <v>151</v>
      </c>
      <c r="B52" s="57">
        <v>13153</v>
      </c>
      <c r="C52" s="55">
        <v>1</v>
      </c>
      <c r="D52" s="57">
        <v>17757</v>
      </c>
      <c r="E52" s="55">
        <v>1</v>
      </c>
      <c r="F52" s="57">
        <v>37906</v>
      </c>
      <c r="G52" s="55">
        <v>1.2</v>
      </c>
    </row>
    <row r="53" spans="1:16">
      <c r="A53" t="s">
        <v>152</v>
      </c>
      <c r="B53" s="57">
        <v>244770</v>
      </c>
      <c r="C53" s="55">
        <v>19.2</v>
      </c>
      <c r="D53" s="57">
        <v>210375</v>
      </c>
      <c r="E53" s="55">
        <v>11.8</v>
      </c>
      <c r="F53" s="57">
        <v>376946</v>
      </c>
      <c r="G53" s="55">
        <v>11.8</v>
      </c>
    </row>
    <row r="54" spans="1:16">
      <c r="A54" t="s">
        <v>153</v>
      </c>
      <c r="B54" s="57">
        <v>10188</v>
      </c>
      <c r="C54" s="55">
        <v>0.8</v>
      </c>
      <c r="D54" s="57">
        <v>10340</v>
      </c>
      <c r="E54" s="55">
        <v>0.6</v>
      </c>
      <c r="F54" s="57">
        <v>30835</v>
      </c>
      <c r="G54" s="55">
        <v>1</v>
      </c>
    </row>
    <row r="55" spans="1:16">
      <c r="A55" t="s">
        <v>154</v>
      </c>
      <c r="B55" s="58">
        <f>SUM(B44:B54)</f>
        <v>536031</v>
      </c>
      <c r="C55" s="59">
        <v>-42.1</v>
      </c>
      <c r="D55" s="58">
        <f>SUM(D44:D54)</f>
        <v>600382</v>
      </c>
      <c r="E55" s="59">
        <v>-33.6</v>
      </c>
      <c r="F55" s="57">
        <f>SUM(F44:F54)</f>
        <v>1044343</v>
      </c>
      <c r="G55" s="59">
        <v>-32.799999999999997</v>
      </c>
    </row>
    <row r="57" spans="1:16">
      <c r="A57" t="s">
        <v>155</v>
      </c>
    </row>
    <row r="58" spans="1:16">
      <c r="A58" t="s">
        <v>156</v>
      </c>
    </row>
    <row r="60" spans="1:16">
      <c r="C60" s="45"/>
      <c r="D60" s="45"/>
      <c r="E60" s="45"/>
      <c r="F60" s="45"/>
      <c r="G60" s="45"/>
      <c r="H60" s="45"/>
      <c r="I60" s="45"/>
      <c r="J60" s="45"/>
      <c r="K60" s="45"/>
      <c r="L60" s="45"/>
      <c r="M60" s="45"/>
      <c r="N60" s="45"/>
      <c r="O60" s="45"/>
      <c r="P60" s="45"/>
    </row>
    <row r="61" spans="1:16">
      <c r="A61" t="s">
        <v>127</v>
      </c>
      <c r="B61" t="s">
        <v>157</v>
      </c>
    </row>
    <row r="62" spans="1:16">
      <c r="A62" t="s">
        <v>131</v>
      </c>
      <c r="B62">
        <v>1969</v>
      </c>
      <c r="C62">
        <v>1984</v>
      </c>
      <c r="D62">
        <v>1997</v>
      </c>
    </row>
    <row r="63" spans="1:16">
      <c r="A63" t="s">
        <v>137</v>
      </c>
      <c r="B63" s="45"/>
      <c r="C63" s="45"/>
      <c r="D63" s="45"/>
      <c r="E63" s="45"/>
      <c r="F63" s="45"/>
      <c r="G63" s="45"/>
      <c r="H63" s="45"/>
      <c r="I63" s="45"/>
      <c r="J63" s="45"/>
      <c r="K63" s="45"/>
      <c r="L63" s="45"/>
      <c r="M63" s="45"/>
      <c r="N63" s="45"/>
      <c r="O63" s="45"/>
      <c r="P63" s="45"/>
    </row>
    <row r="64" spans="1:16">
      <c r="A64" t="s">
        <v>2</v>
      </c>
      <c r="B64" s="57">
        <f t="shared" ref="B64:B74" si="0">E26/100*B44</f>
        <v>9290.1380000000008</v>
      </c>
      <c r="C64" s="57">
        <f t="shared" ref="C64:C74" si="1">J26/100*D44</f>
        <v>16111.445999999998</v>
      </c>
      <c r="D64" s="57">
        <f t="shared" ref="D64:D74" si="2">O26/100*F44</f>
        <v>27882.525000000001</v>
      </c>
      <c r="E64" s="55"/>
      <c r="F64" s="55"/>
      <c r="G64" s="55"/>
      <c r="H64" s="55"/>
      <c r="I64" s="55"/>
      <c r="J64" s="55"/>
      <c r="K64" s="55"/>
      <c r="L64" s="55"/>
      <c r="M64" s="55"/>
      <c r="N64" s="55"/>
      <c r="O64" s="55"/>
      <c r="P64" s="55"/>
    </row>
    <row r="65" spans="1:16">
      <c r="A65" t="s">
        <v>51</v>
      </c>
      <c r="B65" s="57">
        <f t="shared" si="0"/>
        <v>5918.1840000000011</v>
      </c>
      <c r="C65" s="57">
        <f t="shared" si="1"/>
        <v>11444.160000000002</v>
      </c>
      <c r="D65" s="57">
        <f t="shared" si="2"/>
        <v>22839.203999999998</v>
      </c>
      <c r="E65" s="55"/>
      <c r="F65" s="55"/>
      <c r="G65" s="55"/>
      <c r="H65" s="55"/>
      <c r="I65" s="55"/>
      <c r="J65" s="55"/>
      <c r="K65" s="55"/>
      <c r="L65" s="55"/>
      <c r="M65" s="55"/>
      <c r="N65" s="55"/>
      <c r="O65" s="55"/>
      <c r="P65" s="55"/>
    </row>
    <row r="66" spans="1:16">
      <c r="A66" t="s">
        <v>79</v>
      </c>
      <c r="B66" s="57">
        <f t="shared" si="0"/>
        <v>6173.4560000000001</v>
      </c>
      <c r="C66" s="57">
        <f t="shared" si="1"/>
        <v>11669.019999999999</v>
      </c>
      <c r="D66" s="57">
        <f t="shared" si="2"/>
        <v>19714.752000000004</v>
      </c>
      <c r="E66" s="55"/>
      <c r="F66" s="55"/>
      <c r="G66" s="55"/>
      <c r="H66" s="55"/>
      <c r="I66" s="55"/>
      <c r="J66" s="55"/>
      <c r="K66" s="55"/>
      <c r="L66" s="55"/>
      <c r="M66" s="55"/>
      <c r="N66" s="55"/>
      <c r="O66" s="55"/>
      <c r="P66" s="55"/>
    </row>
    <row r="67" spans="1:16">
      <c r="A67" t="s">
        <v>49</v>
      </c>
      <c r="B67" s="57">
        <f t="shared" si="0"/>
        <v>5220.4960000000001</v>
      </c>
      <c r="C67" s="57">
        <f t="shared" si="1"/>
        <v>18915.281999999999</v>
      </c>
      <c r="D67" s="57">
        <f t="shared" si="2"/>
        <v>24247.23</v>
      </c>
      <c r="E67" s="55"/>
      <c r="F67" s="55"/>
      <c r="G67" s="55"/>
      <c r="H67" s="55"/>
      <c r="I67" s="55"/>
      <c r="J67" s="55"/>
      <c r="K67" s="55"/>
      <c r="L67" s="55"/>
      <c r="M67" s="55"/>
      <c r="N67" s="55"/>
      <c r="O67" s="55"/>
      <c r="P67" s="55"/>
    </row>
    <row r="68" spans="1:16">
      <c r="A68" t="s">
        <v>139</v>
      </c>
      <c r="B68" s="57">
        <f t="shared" si="0"/>
        <v>3186.1439999999998</v>
      </c>
      <c r="C68" s="57">
        <f t="shared" si="1"/>
        <v>5968.625</v>
      </c>
      <c r="D68" s="57">
        <f t="shared" si="2"/>
        <v>7439.2270000000008</v>
      </c>
      <c r="E68" s="55"/>
      <c r="F68" s="55"/>
      <c r="G68" s="55"/>
      <c r="H68" s="55"/>
      <c r="I68" s="55"/>
      <c r="J68" s="55"/>
      <c r="K68" s="55"/>
      <c r="L68" s="55"/>
      <c r="M68" s="55"/>
      <c r="N68" s="55"/>
      <c r="O68" s="55"/>
      <c r="P68" s="55"/>
    </row>
    <row r="69" spans="1:16">
      <c r="A69" t="s">
        <v>50</v>
      </c>
      <c r="B69" s="57">
        <f t="shared" si="0"/>
        <v>18529.812000000002</v>
      </c>
      <c r="C69" s="57">
        <f t="shared" si="1"/>
        <v>20017.5</v>
      </c>
      <c r="D69" s="57">
        <f t="shared" si="2"/>
        <v>32313.174999999999</v>
      </c>
      <c r="E69" s="55"/>
      <c r="F69" s="55"/>
      <c r="G69" s="55"/>
      <c r="H69" s="55"/>
      <c r="I69" s="55"/>
      <c r="J69" s="55"/>
      <c r="K69" s="55"/>
      <c r="L69" s="55"/>
      <c r="M69" s="55"/>
      <c r="N69" s="55"/>
      <c r="O69" s="55"/>
      <c r="P69" s="55"/>
    </row>
    <row r="70" spans="1:16">
      <c r="A70" t="s">
        <v>140</v>
      </c>
      <c r="B70" s="57">
        <f t="shared" si="0"/>
        <v>9758.3160000000007</v>
      </c>
      <c r="C70" s="57">
        <f t="shared" si="1"/>
        <v>19654.080000000002</v>
      </c>
      <c r="D70" s="57">
        <f t="shared" si="2"/>
        <v>24452.688000000002</v>
      </c>
      <c r="E70" s="55"/>
      <c r="F70" s="55"/>
      <c r="G70" s="55"/>
      <c r="H70" s="55"/>
      <c r="I70" s="55"/>
      <c r="J70" s="55"/>
      <c r="K70" s="55"/>
      <c r="L70" s="55"/>
      <c r="M70" s="55"/>
      <c r="N70" s="55"/>
      <c r="O70" s="55"/>
      <c r="P70" s="55"/>
    </row>
    <row r="71" spans="1:16">
      <c r="A71" t="s">
        <v>141</v>
      </c>
      <c r="B71" s="57">
        <f t="shared" si="0"/>
        <v>11170.484999999999</v>
      </c>
      <c r="C71" s="57">
        <f t="shared" si="1"/>
        <v>9100.7699999999986</v>
      </c>
      <c r="D71" s="57">
        <f t="shared" si="2"/>
        <v>14172.784000000001</v>
      </c>
      <c r="E71" s="55"/>
      <c r="F71" s="55"/>
      <c r="G71" s="55"/>
      <c r="H71" s="55"/>
      <c r="I71" s="55"/>
      <c r="J71" s="55"/>
      <c r="K71" s="55"/>
      <c r="L71" s="55"/>
      <c r="M71" s="55"/>
      <c r="N71" s="55"/>
      <c r="O71" s="55"/>
      <c r="P71" s="55"/>
    </row>
    <row r="72" spans="1:16">
      <c r="A72" t="s">
        <v>90</v>
      </c>
      <c r="B72" s="57">
        <f t="shared" si="0"/>
        <v>3906.4409999999998</v>
      </c>
      <c r="C72" s="57">
        <f t="shared" si="1"/>
        <v>7244.8559999999998</v>
      </c>
      <c r="D72" s="57">
        <f t="shared" si="2"/>
        <v>20507.146000000001</v>
      </c>
      <c r="E72" s="55"/>
      <c r="F72" s="55"/>
      <c r="G72" s="55"/>
      <c r="H72" s="55"/>
      <c r="I72" s="55"/>
      <c r="J72" s="55"/>
      <c r="K72" s="55"/>
      <c r="L72" s="55"/>
      <c r="M72" s="55"/>
      <c r="N72" s="55"/>
      <c r="O72" s="55"/>
      <c r="P72" s="55"/>
    </row>
    <row r="73" spans="1:16">
      <c r="A73" t="s">
        <v>142</v>
      </c>
      <c r="B73" s="57">
        <f t="shared" si="0"/>
        <v>43324.29</v>
      </c>
      <c r="C73" s="57">
        <f t="shared" si="1"/>
        <v>68792.625</v>
      </c>
      <c r="D73" s="57">
        <f t="shared" si="2"/>
        <v>142485.58799999999</v>
      </c>
      <c r="E73" s="55"/>
      <c r="F73" s="55"/>
      <c r="G73" s="55"/>
      <c r="H73" s="55"/>
      <c r="I73" s="55"/>
      <c r="J73" s="55"/>
      <c r="K73" s="55"/>
      <c r="L73" s="55"/>
      <c r="M73" s="55"/>
      <c r="N73" s="55"/>
      <c r="O73" s="55"/>
      <c r="P73" s="55"/>
    </row>
    <row r="74" spans="1:16">
      <c r="A74" t="s">
        <v>143</v>
      </c>
      <c r="B74" s="57">
        <f t="shared" si="0"/>
        <v>0</v>
      </c>
      <c r="C74" s="57">
        <f t="shared" si="1"/>
        <v>1468.28</v>
      </c>
      <c r="D74" s="57">
        <f t="shared" si="2"/>
        <v>9805.5300000000007</v>
      </c>
      <c r="E74" s="55"/>
      <c r="F74" s="55"/>
      <c r="G74" s="55"/>
      <c r="H74" s="55"/>
      <c r="I74" s="55"/>
      <c r="J74" s="55"/>
      <c r="K74" s="55"/>
      <c r="L74" s="55"/>
      <c r="M74" s="55"/>
      <c r="N74" s="55"/>
      <c r="O74" s="55"/>
      <c r="P74" s="55"/>
    </row>
    <row r="75" spans="1:16">
      <c r="A75" s="33" t="s">
        <v>95</v>
      </c>
      <c r="B75" s="57">
        <f>SUM(B64:B74)</f>
        <v>116477.76200000002</v>
      </c>
      <c r="C75" s="57">
        <f>SUM(C64:C74)</f>
        <v>190386.644</v>
      </c>
      <c r="D75" s="57">
        <f>SUM(D64:D74)</f>
        <v>345859.84900000005</v>
      </c>
    </row>
  </sheetData>
  <mergeCells count="10">
    <mergeCell ref="B25:P25"/>
    <mergeCell ref="B42:C42"/>
    <mergeCell ref="D42:E42"/>
    <mergeCell ref="F42:G42"/>
    <mergeCell ref="A1:S1"/>
    <mergeCell ref="F2:M2"/>
    <mergeCell ref="O13:Q13"/>
    <mergeCell ref="B22:F22"/>
    <mergeCell ref="G22:K22"/>
    <mergeCell ref="L22:P22"/>
  </mergeCells>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62"/>
  <sheetViews>
    <sheetView showGridLines="0" zoomScaleNormal="100" workbookViewId="0">
      <pane ySplit="5" topLeftCell="A12" activePane="bottomLeft" state="frozen"/>
      <selection pane="bottomLeft" activeCell="M16" sqref="M16"/>
    </sheetView>
  </sheetViews>
  <sheetFormatPr defaultRowHeight="15.5"/>
  <cols>
    <col min="1" max="1" width="11"/>
    <col min="2" max="2" width="13.25"/>
    <col min="3" max="3" width="11.33203125"/>
    <col min="4" max="12" width="11"/>
    <col min="13" max="13" width="16.25"/>
    <col min="14" max="14" width="16"/>
    <col min="15" max="15" width="15.5"/>
    <col min="16" max="16" width="16"/>
    <col min="17" max="17" width="11"/>
    <col min="18" max="18" width="21.1640625"/>
    <col min="19" max="23" width="11"/>
    <col min="24" max="24" width="48.5"/>
    <col min="25" max="1025" width="11"/>
  </cols>
  <sheetData>
    <row r="1" spans="1:18" ht="23.5">
      <c r="A1" s="66" t="s">
        <v>158</v>
      </c>
      <c r="B1" s="66"/>
      <c r="C1" s="66"/>
      <c r="D1" s="66"/>
      <c r="E1" s="66"/>
      <c r="F1" s="66"/>
      <c r="G1" s="66"/>
      <c r="H1" s="66"/>
      <c r="I1" s="66"/>
      <c r="J1" s="66"/>
      <c r="K1" s="66"/>
      <c r="L1" s="66"/>
      <c r="M1" s="66"/>
      <c r="N1" s="66"/>
      <c r="O1" s="66"/>
      <c r="P1" s="66"/>
    </row>
    <row r="3" spans="1:18">
      <c r="B3" s="33" t="s">
        <v>2</v>
      </c>
      <c r="C3" s="33"/>
      <c r="D3" s="33" t="s">
        <v>49</v>
      </c>
      <c r="E3" s="33"/>
      <c r="F3" s="33" t="s">
        <v>50</v>
      </c>
      <c r="G3" s="33"/>
      <c r="H3" s="33" t="s">
        <v>51</v>
      </c>
      <c r="I3" s="33"/>
      <c r="J3" s="33" t="s">
        <v>159</v>
      </c>
      <c r="M3" s="33" t="s">
        <v>2</v>
      </c>
      <c r="N3" s="33" t="s">
        <v>49</v>
      </c>
      <c r="O3" s="33" t="s">
        <v>50</v>
      </c>
      <c r="P3" s="33" t="s">
        <v>51</v>
      </c>
    </row>
    <row r="4" spans="1:18" ht="176" customHeight="1">
      <c r="B4" s="45" t="s">
        <v>160</v>
      </c>
      <c r="C4" s="45" t="s">
        <v>161</v>
      </c>
      <c r="D4" s="45" t="s">
        <v>160</v>
      </c>
      <c r="E4" s="45" t="s">
        <v>161</v>
      </c>
      <c r="F4" s="45" t="s">
        <v>160</v>
      </c>
      <c r="G4" s="45" t="s">
        <v>161</v>
      </c>
      <c r="H4" s="45" t="s">
        <v>160</v>
      </c>
      <c r="I4" s="45" t="s">
        <v>161</v>
      </c>
      <c r="J4" t="s">
        <v>162</v>
      </c>
      <c r="K4" s="72" t="s">
        <v>163</v>
      </c>
      <c r="L4" s="72"/>
      <c r="M4" s="45" t="s">
        <v>164</v>
      </c>
      <c r="N4" s="45" t="s">
        <v>164</v>
      </c>
      <c r="O4" s="45" t="s">
        <v>164</v>
      </c>
      <c r="P4" s="45" t="s">
        <v>164</v>
      </c>
    </row>
    <row r="5" spans="1:18" ht="62">
      <c r="A5" s="33" t="s">
        <v>38</v>
      </c>
      <c r="B5" s="60" t="s">
        <v>165</v>
      </c>
      <c r="C5" s="60" t="s">
        <v>166</v>
      </c>
      <c r="D5" s="60" t="s">
        <v>165</v>
      </c>
      <c r="E5" s="60" t="s">
        <v>166</v>
      </c>
      <c r="F5" s="60" t="s">
        <v>165</v>
      </c>
      <c r="G5" s="60" t="s">
        <v>166</v>
      </c>
      <c r="H5" s="60" t="s">
        <v>165</v>
      </c>
      <c r="I5" s="60" t="s">
        <v>166</v>
      </c>
      <c r="J5" t="s">
        <v>167</v>
      </c>
      <c r="M5" s="61" t="s">
        <v>168</v>
      </c>
      <c r="N5" s="61" t="s">
        <v>168</v>
      </c>
      <c r="O5" s="61" t="s">
        <v>168</v>
      </c>
      <c r="P5" s="61" t="s">
        <v>168</v>
      </c>
    </row>
    <row r="6" spans="1:18">
      <c r="A6" s="33" t="s">
        <v>47</v>
      </c>
      <c r="B6" s="60"/>
      <c r="C6" s="60"/>
      <c r="D6" s="60"/>
      <c r="E6" s="60"/>
      <c r="F6" s="60"/>
      <c r="G6" s="60"/>
      <c r="H6" s="60"/>
      <c r="I6" s="60"/>
      <c r="M6" s="61"/>
      <c r="N6" s="61"/>
      <c r="O6" s="61"/>
      <c r="P6" s="61"/>
    </row>
    <row r="7" spans="1:18">
      <c r="A7">
        <v>1960</v>
      </c>
    </row>
    <row r="8" spans="1:18">
      <c r="A8">
        <v>1961</v>
      </c>
    </row>
    <row r="9" spans="1:18">
      <c r="A9">
        <v>1962</v>
      </c>
    </row>
    <row r="10" spans="1:18">
      <c r="A10">
        <v>1963</v>
      </c>
    </row>
    <row r="11" spans="1:18">
      <c r="A11">
        <v>1964</v>
      </c>
    </row>
    <row r="12" spans="1:18">
      <c r="A12">
        <v>1965</v>
      </c>
    </row>
    <row r="13" spans="1:18">
      <c r="A13">
        <v>1966</v>
      </c>
    </row>
    <row r="14" spans="1:18">
      <c r="A14">
        <v>1967</v>
      </c>
    </row>
    <row r="15" spans="1:18">
      <c r="A15">
        <v>1968</v>
      </c>
    </row>
    <row r="16" spans="1:18">
      <c r="A16">
        <v>1969</v>
      </c>
      <c r="B16">
        <v>32483</v>
      </c>
      <c r="D16">
        <v>19193</v>
      </c>
      <c r="F16">
        <v>57546</v>
      </c>
      <c r="H16">
        <v>27399</v>
      </c>
      <c r="J16">
        <v>0.39829999999999999</v>
      </c>
      <c r="M16" s="53">
        <f>B16*J16/1000*T45</f>
        <v>7.6709520017702921</v>
      </c>
      <c r="N16" s="53">
        <f>D16*J16/1000*U45</f>
        <v>4.6117019894996698</v>
      </c>
      <c r="O16" s="53">
        <f>F16*J16/1000*V45</f>
        <v>13.487359311979906</v>
      </c>
      <c r="P16" s="53">
        <f>H16*J16/1000*W45</f>
        <v>6.7255646818384491</v>
      </c>
      <c r="R16" s="41" t="s">
        <v>169</v>
      </c>
    </row>
    <row r="17" spans="1:18">
      <c r="A17">
        <v>1970</v>
      </c>
      <c r="M17" s="42"/>
      <c r="N17" s="42"/>
      <c r="O17" s="42"/>
      <c r="P17" s="42"/>
    </row>
    <row r="18" spans="1:18">
      <c r="A18">
        <v>1971</v>
      </c>
      <c r="M18" s="42"/>
      <c r="N18" s="42"/>
      <c r="O18" s="42"/>
      <c r="P18" s="42"/>
    </row>
    <row r="19" spans="1:18">
      <c r="A19">
        <v>1972</v>
      </c>
      <c r="M19" s="42"/>
      <c r="N19" s="42"/>
      <c r="O19" s="42"/>
      <c r="P19" s="42"/>
    </row>
    <row r="20" spans="1:18">
      <c r="A20">
        <v>1973</v>
      </c>
      <c r="M20" s="42"/>
      <c r="N20" s="42"/>
      <c r="O20" s="42"/>
      <c r="P20" s="42"/>
    </row>
    <row r="21" spans="1:18">
      <c r="A21">
        <v>1974</v>
      </c>
      <c r="M21" s="42"/>
      <c r="N21" s="42"/>
      <c r="O21" s="42"/>
      <c r="P21" s="42"/>
    </row>
    <row r="22" spans="1:18">
      <c r="A22">
        <v>1975</v>
      </c>
      <c r="M22" s="42"/>
      <c r="N22" s="42"/>
      <c r="O22" s="42"/>
      <c r="P22" s="42"/>
    </row>
    <row r="23" spans="1:18">
      <c r="A23">
        <v>1976</v>
      </c>
      <c r="M23" s="42"/>
      <c r="N23" s="42"/>
      <c r="O23" s="42"/>
      <c r="P23" s="42"/>
    </row>
    <row r="24" spans="1:18">
      <c r="A24">
        <v>1977</v>
      </c>
      <c r="M24" s="42"/>
      <c r="N24" s="42"/>
      <c r="O24" s="42"/>
      <c r="P24" s="42"/>
    </row>
    <row r="25" spans="1:18">
      <c r="A25">
        <v>1978</v>
      </c>
      <c r="M25" s="42"/>
      <c r="N25" s="42"/>
      <c r="O25" s="42"/>
      <c r="P25" s="42"/>
    </row>
    <row r="26" spans="1:18">
      <c r="A26">
        <v>1979</v>
      </c>
      <c r="M26" s="42"/>
      <c r="N26" s="42"/>
      <c r="O26" s="42"/>
      <c r="P26" s="42"/>
    </row>
    <row r="27" spans="1:18">
      <c r="A27">
        <v>1980</v>
      </c>
      <c r="M27" s="42"/>
      <c r="N27" s="42"/>
      <c r="O27" s="42"/>
      <c r="P27" s="42"/>
    </row>
    <row r="28" spans="1:18">
      <c r="A28">
        <v>1981</v>
      </c>
      <c r="M28" s="42"/>
      <c r="N28" s="42"/>
      <c r="O28" s="42"/>
      <c r="P28" s="42"/>
    </row>
    <row r="29" spans="1:18">
      <c r="A29">
        <v>1982</v>
      </c>
      <c r="M29" s="42"/>
      <c r="N29" s="42"/>
      <c r="O29" s="42"/>
      <c r="P29" s="42"/>
    </row>
    <row r="30" spans="1:18">
      <c r="A30">
        <v>1983</v>
      </c>
      <c r="M30" s="42"/>
      <c r="N30" s="42"/>
      <c r="O30" s="42"/>
      <c r="P30" s="42"/>
    </row>
    <row r="31" spans="1:18">
      <c r="A31">
        <v>1984</v>
      </c>
      <c r="B31">
        <v>47667</v>
      </c>
      <c r="D31">
        <v>53433</v>
      </c>
      <c r="F31">
        <v>47100</v>
      </c>
      <c r="H31">
        <v>40872</v>
      </c>
      <c r="J31">
        <v>1</v>
      </c>
      <c r="M31" s="53">
        <f>B31*J31/1000*T45</f>
        <v>28.261853871811809</v>
      </c>
      <c r="N31" s="53">
        <f>D31*J31/1000*U45</f>
        <v>32.234254007727479</v>
      </c>
      <c r="O31" s="53">
        <f>F31*J31/1000*V45</f>
        <v>27.715478877985657</v>
      </c>
      <c r="P31" s="53">
        <f>H31*J31/1000*W45</f>
        <v>25.18892450072752</v>
      </c>
      <c r="R31" s="41" t="s">
        <v>169</v>
      </c>
    </row>
    <row r="32" spans="1:18">
      <c r="A32">
        <v>1985</v>
      </c>
    </row>
    <row r="33" spans="1:24">
      <c r="A33">
        <v>1986</v>
      </c>
    </row>
    <row r="34" spans="1:24">
      <c r="A34">
        <v>1987</v>
      </c>
    </row>
    <row r="35" spans="1:24">
      <c r="A35">
        <v>1988</v>
      </c>
    </row>
    <row r="36" spans="1:24">
      <c r="A36">
        <v>1989</v>
      </c>
    </row>
    <row r="37" spans="1:24">
      <c r="A37">
        <v>1990</v>
      </c>
    </row>
    <row r="38" spans="1:24">
      <c r="A38">
        <v>1991</v>
      </c>
    </row>
    <row r="39" spans="1:24">
      <c r="A39">
        <v>1992</v>
      </c>
      <c r="R39" s="41" t="s">
        <v>170</v>
      </c>
    </row>
    <row r="40" spans="1:24" ht="96" customHeight="1">
      <c r="A40">
        <v>1993</v>
      </c>
      <c r="C40">
        <v>92123</v>
      </c>
      <c r="E40">
        <v>78626</v>
      </c>
      <c r="G40">
        <v>63353</v>
      </c>
      <c r="I40">
        <v>71730</v>
      </c>
      <c r="M40" s="52">
        <f t="shared" ref="M40:M61" si="0">C40/1000</f>
        <v>92.123000000000005</v>
      </c>
      <c r="N40" s="52">
        <f t="shared" ref="N40:N61" si="1">E40/1000</f>
        <v>78.626000000000005</v>
      </c>
      <c r="O40" s="52">
        <f t="shared" ref="O40:O61" si="2">G40/1000</f>
        <v>63.353000000000002</v>
      </c>
      <c r="P40" s="52">
        <f t="shared" ref="P40:P61" si="3">I40/1000</f>
        <v>71.73</v>
      </c>
      <c r="R40" s="67" t="s">
        <v>171</v>
      </c>
      <c r="S40" s="67"/>
      <c r="T40" s="67"/>
      <c r="U40" s="67"/>
      <c r="V40" s="67"/>
      <c r="W40" s="67"/>
      <c r="X40" s="67"/>
    </row>
    <row r="41" spans="1:24">
      <c r="A41">
        <v>1994</v>
      </c>
      <c r="C41">
        <v>96727</v>
      </c>
      <c r="E41">
        <v>82158</v>
      </c>
      <c r="G41">
        <v>69187</v>
      </c>
      <c r="I41">
        <v>77242</v>
      </c>
      <c r="M41" s="52">
        <f t="shared" si="0"/>
        <v>96.727000000000004</v>
      </c>
      <c r="N41" s="52">
        <f t="shared" si="1"/>
        <v>82.158000000000001</v>
      </c>
      <c r="O41" s="52">
        <f t="shared" si="2"/>
        <v>69.186999999999998</v>
      </c>
      <c r="P41" s="52">
        <f t="shared" si="3"/>
        <v>77.242000000000004</v>
      </c>
    </row>
    <row r="42" spans="1:24">
      <c r="A42">
        <v>1995</v>
      </c>
      <c r="C42">
        <v>101082</v>
      </c>
      <c r="E42">
        <v>83434</v>
      </c>
      <c r="G42">
        <v>72639</v>
      </c>
      <c r="I42">
        <v>79353</v>
      </c>
      <c r="M42" s="52">
        <f t="shared" si="0"/>
        <v>101.08199999999999</v>
      </c>
      <c r="N42" s="52">
        <f t="shared" si="1"/>
        <v>83.433999999999997</v>
      </c>
      <c r="O42" s="52">
        <f t="shared" si="2"/>
        <v>72.638999999999996</v>
      </c>
      <c r="P42" s="52">
        <f t="shared" si="3"/>
        <v>79.352999999999994</v>
      </c>
    </row>
    <row r="43" spans="1:24">
      <c r="A43">
        <v>1996</v>
      </c>
      <c r="C43">
        <v>98420</v>
      </c>
      <c r="E43">
        <v>81936</v>
      </c>
      <c r="G43">
        <v>74787</v>
      </c>
      <c r="I43">
        <v>80043</v>
      </c>
      <c r="M43" s="52">
        <f t="shared" si="0"/>
        <v>98.42</v>
      </c>
      <c r="N43" s="52">
        <f t="shared" si="1"/>
        <v>81.936000000000007</v>
      </c>
      <c r="O43" s="52">
        <f t="shared" si="2"/>
        <v>74.787000000000006</v>
      </c>
      <c r="P43" s="52">
        <f t="shared" si="3"/>
        <v>80.043000000000006</v>
      </c>
    </row>
    <row r="44" spans="1:24">
      <c r="A44">
        <v>1997</v>
      </c>
      <c r="B44">
        <v>101391</v>
      </c>
      <c r="C44">
        <v>98348</v>
      </c>
      <c r="D44">
        <v>85078</v>
      </c>
      <c r="E44">
        <v>83967</v>
      </c>
      <c r="F44">
        <v>76031</v>
      </c>
      <c r="G44">
        <v>73194</v>
      </c>
      <c r="H44">
        <v>82452</v>
      </c>
      <c r="I44">
        <v>83132</v>
      </c>
      <c r="J44">
        <v>1.6359999999999999</v>
      </c>
      <c r="M44" s="52">
        <f t="shared" si="0"/>
        <v>98.347999999999999</v>
      </c>
      <c r="N44" s="52">
        <f t="shared" si="1"/>
        <v>83.966999999999999</v>
      </c>
      <c r="O44" s="52">
        <f t="shared" si="2"/>
        <v>73.194000000000003</v>
      </c>
      <c r="P44" s="52">
        <f t="shared" si="3"/>
        <v>83.132000000000005</v>
      </c>
      <c r="R44" s="33" t="s">
        <v>172</v>
      </c>
      <c r="T44" s="42">
        <f>B44*$J44/1000</f>
        <v>165.87567599999997</v>
      </c>
      <c r="U44" s="42">
        <f>D44*$J44/1000</f>
        <v>139.18760799999998</v>
      </c>
      <c r="V44" s="42">
        <f>F44*$J44/1000</f>
        <v>124.38671599999999</v>
      </c>
      <c r="W44" s="42">
        <f>H44*$J44/1000</f>
        <v>134.89147199999999</v>
      </c>
    </row>
    <row r="45" spans="1:24">
      <c r="A45">
        <v>1998</v>
      </c>
      <c r="C45">
        <v>93745</v>
      </c>
      <c r="E45">
        <v>82635</v>
      </c>
      <c r="G45">
        <v>74543</v>
      </c>
      <c r="I45">
        <v>81728</v>
      </c>
      <c r="M45" s="52">
        <f t="shared" si="0"/>
        <v>93.745000000000005</v>
      </c>
      <c r="N45" s="52">
        <f t="shared" si="1"/>
        <v>82.635000000000005</v>
      </c>
      <c r="O45" s="52">
        <f t="shared" si="2"/>
        <v>74.543000000000006</v>
      </c>
      <c r="P45" s="52">
        <f t="shared" si="3"/>
        <v>81.727999999999994</v>
      </c>
      <c r="R45" s="33" t="s">
        <v>173</v>
      </c>
      <c r="T45" s="42">
        <f>M44/T44</f>
        <v>0.59290187911577841</v>
      </c>
      <c r="U45" s="42">
        <f>N44/U44</f>
        <v>0.60326491134182014</v>
      </c>
      <c r="V45" s="42">
        <f>O44/V44</f>
        <v>0.58843904199544916</v>
      </c>
      <c r="W45" s="42">
        <f>P44/W44</f>
        <v>0.61628803339027993</v>
      </c>
    </row>
    <row r="46" spans="1:24">
      <c r="A46">
        <v>1999</v>
      </c>
      <c r="C46">
        <v>100555</v>
      </c>
      <c r="E46">
        <v>92044</v>
      </c>
      <c r="G46">
        <v>77513</v>
      </c>
      <c r="I46">
        <v>86898</v>
      </c>
      <c r="M46" s="52">
        <f t="shared" si="0"/>
        <v>100.55500000000001</v>
      </c>
      <c r="N46" s="52">
        <f t="shared" si="1"/>
        <v>92.043999999999997</v>
      </c>
      <c r="O46" s="52">
        <f t="shared" si="2"/>
        <v>77.513000000000005</v>
      </c>
      <c r="P46" s="52">
        <f t="shared" si="3"/>
        <v>86.897999999999996</v>
      </c>
    </row>
    <row r="47" spans="1:24">
      <c r="A47">
        <v>2000</v>
      </c>
      <c r="C47">
        <v>106938</v>
      </c>
      <c r="E47">
        <v>87736</v>
      </c>
      <c r="G47">
        <v>80986</v>
      </c>
      <c r="I47">
        <v>94055</v>
      </c>
      <c r="M47" s="52">
        <f t="shared" si="0"/>
        <v>106.938</v>
      </c>
      <c r="N47" s="52">
        <f t="shared" si="1"/>
        <v>87.736000000000004</v>
      </c>
      <c r="O47" s="52">
        <f t="shared" si="2"/>
        <v>80.986000000000004</v>
      </c>
      <c r="P47" s="52">
        <f t="shared" si="3"/>
        <v>94.055000000000007</v>
      </c>
    </row>
    <row r="48" spans="1:24">
      <c r="A48">
        <v>2001</v>
      </c>
      <c r="C48">
        <v>110354</v>
      </c>
      <c r="E48">
        <v>88580</v>
      </c>
      <c r="G48">
        <v>83474</v>
      </c>
      <c r="I48">
        <v>96725</v>
      </c>
      <c r="M48" s="52">
        <f t="shared" si="0"/>
        <v>110.354</v>
      </c>
      <c r="N48" s="52">
        <f t="shared" si="1"/>
        <v>88.58</v>
      </c>
      <c r="O48" s="52">
        <f t="shared" si="2"/>
        <v>83.474000000000004</v>
      </c>
      <c r="P48" s="52">
        <f t="shared" si="3"/>
        <v>96.724999999999994</v>
      </c>
    </row>
    <row r="49" spans="1:16">
      <c r="A49">
        <v>2002</v>
      </c>
      <c r="C49">
        <v>118311</v>
      </c>
      <c r="E49">
        <v>98602</v>
      </c>
      <c r="G49">
        <v>84006</v>
      </c>
      <c r="I49">
        <v>100607</v>
      </c>
      <c r="M49" s="52">
        <f t="shared" si="0"/>
        <v>118.31100000000001</v>
      </c>
      <c r="N49" s="52">
        <f t="shared" si="1"/>
        <v>98.602000000000004</v>
      </c>
      <c r="O49" s="52">
        <f t="shared" si="2"/>
        <v>84.006</v>
      </c>
      <c r="P49" s="52">
        <f t="shared" si="3"/>
        <v>100.607</v>
      </c>
    </row>
    <row r="50" spans="1:16">
      <c r="A50">
        <v>2003</v>
      </c>
      <c r="C50">
        <v>118534</v>
      </c>
      <c r="E50">
        <v>100564</v>
      </c>
      <c r="G50">
        <v>87140</v>
      </c>
      <c r="I50">
        <v>105712</v>
      </c>
      <c r="M50" s="52">
        <f t="shared" si="0"/>
        <v>118.53400000000001</v>
      </c>
      <c r="N50" s="52">
        <f t="shared" si="1"/>
        <v>100.56399999999999</v>
      </c>
      <c r="O50" s="52">
        <f t="shared" si="2"/>
        <v>87.14</v>
      </c>
      <c r="P50" s="52">
        <f t="shared" si="3"/>
        <v>105.712</v>
      </c>
    </row>
    <row r="51" spans="1:16">
      <c r="A51">
        <v>2004</v>
      </c>
      <c r="C51">
        <v>127271</v>
      </c>
      <c r="E51">
        <v>110794</v>
      </c>
      <c r="G51">
        <v>90090</v>
      </c>
      <c r="I51">
        <v>105857</v>
      </c>
      <c r="M51" s="52">
        <f t="shared" si="0"/>
        <v>127.271</v>
      </c>
      <c r="N51" s="52">
        <f t="shared" si="1"/>
        <v>110.794</v>
      </c>
      <c r="O51" s="52">
        <f t="shared" si="2"/>
        <v>90.09</v>
      </c>
      <c r="P51" s="52">
        <f t="shared" si="3"/>
        <v>105.857</v>
      </c>
    </row>
    <row r="52" spans="1:16">
      <c r="A52">
        <v>2005</v>
      </c>
      <c r="C52">
        <v>123603</v>
      </c>
      <c r="E52">
        <v>113340</v>
      </c>
      <c r="G52">
        <v>90426</v>
      </c>
      <c r="I52">
        <v>105985</v>
      </c>
      <c r="M52" s="52">
        <f t="shared" si="0"/>
        <v>123.60299999999999</v>
      </c>
      <c r="N52" s="52">
        <f t="shared" si="1"/>
        <v>113.34</v>
      </c>
      <c r="O52" s="52">
        <f t="shared" si="2"/>
        <v>90.426000000000002</v>
      </c>
      <c r="P52" s="52">
        <f t="shared" si="3"/>
        <v>105.985</v>
      </c>
    </row>
    <row r="53" spans="1:16">
      <c r="A53">
        <v>2006</v>
      </c>
      <c r="C53">
        <v>119122</v>
      </c>
      <c r="E53">
        <v>109387</v>
      </c>
      <c r="G53">
        <v>88416</v>
      </c>
      <c r="I53">
        <v>108512</v>
      </c>
      <c r="M53" s="52">
        <f t="shared" si="0"/>
        <v>119.122</v>
      </c>
      <c r="N53" s="52">
        <f t="shared" si="1"/>
        <v>109.387</v>
      </c>
      <c r="O53" s="52">
        <f t="shared" si="2"/>
        <v>88.415999999999997</v>
      </c>
      <c r="P53" s="52">
        <f t="shared" si="3"/>
        <v>108.512</v>
      </c>
    </row>
    <row r="54" spans="1:16">
      <c r="A54">
        <v>2007</v>
      </c>
      <c r="C54">
        <v>122959</v>
      </c>
      <c r="E54">
        <v>118981</v>
      </c>
      <c r="G54">
        <v>90143</v>
      </c>
      <c r="I54">
        <v>101025</v>
      </c>
      <c r="M54" s="52">
        <f t="shared" si="0"/>
        <v>122.959</v>
      </c>
      <c r="N54" s="52">
        <f t="shared" si="1"/>
        <v>118.98099999999999</v>
      </c>
      <c r="O54" s="52">
        <f t="shared" si="2"/>
        <v>90.143000000000001</v>
      </c>
      <c r="P54" s="52">
        <f t="shared" si="3"/>
        <v>101.02500000000001</v>
      </c>
    </row>
    <row r="55" spans="1:16">
      <c r="A55">
        <v>2008</v>
      </c>
      <c r="C55">
        <v>120704</v>
      </c>
      <c r="E55">
        <v>122881</v>
      </c>
      <c r="G55">
        <v>89297</v>
      </c>
      <c r="I55">
        <v>99623</v>
      </c>
      <c r="M55" s="52">
        <f t="shared" si="0"/>
        <v>120.70399999999999</v>
      </c>
      <c r="N55" s="52">
        <f t="shared" si="1"/>
        <v>122.881</v>
      </c>
      <c r="O55" s="52">
        <f t="shared" si="2"/>
        <v>89.296999999999997</v>
      </c>
      <c r="P55" s="52">
        <f t="shared" si="3"/>
        <v>99.623000000000005</v>
      </c>
    </row>
    <row r="56" spans="1:16">
      <c r="A56">
        <v>2009</v>
      </c>
      <c r="C56">
        <v>122041</v>
      </c>
      <c r="E56">
        <v>125299</v>
      </c>
      <c r="G56">
        <v>80700</v>
      </c>
      <c r="I56">
        <v>107887</v>
      </c>
      <c r="M56" s="52">
        <f t="shared" si="0"/>
        <v>122.041</v>
      </c>
      <c r="N56" s="52">
        <f t="shared" si="1"/>
        <v>125.29900000000001</v>
      </c>
      <c r="O56" s="52">
        <f t="shared" si="2"/>
        <v>80.7</v>
      </c>
      <c r="P56" s="52">
        <f t="shared" si="3"/>
        <v>107.887</v>
      </c>
    </row>
    <row r="57" spans="1:16">
      <c r="A57">
        <v>2010</v>
      </c>
      <c r="C57">
        <v>102222</v>
      </c>
      <c r="E57">
        <v>111497</v>
      </c>
      <c r="G57">
        <v>86476</v>
      </c>
      <c r="I57">
        <v>104876</v>
      </c>
      <c r="M57" s="52">
        <f t="shared" si="0"/>
        <v>102.22199999999999</v>
      </c>
      <c r="N57" s="52">
        <f t="shared" si="1"/>
        <v>111.497</v>
      </c>
      <c r="O57" s="52">
        <f t="shared" si="2"/>
        <v>86.475999999999999</v>
      </c>
      <c r="P57" s="52">
        <f t="shared" si="3"/>
        <v>104.876</v>
      </c>
    </row>
    <row r="58" spans="1:16">
      <c r="A58">
        <v>2011</v>
      </c>
      <c r="C58">
        <v>102728</v>
      </c>
      <c r="E58">
        <v>102626</v>
      </c>
      <c r="G58">
        <v>83272</v>
      </c>
      <c r="I58">
        <v>110229</v>
      </c>
      <c r="M58" s="52">
        <f t="shared" si="0"/>
        <v>102.72799999999999</v>
      </c>
      <c r="N58" s="52">
        <f t="shared" si="1"/>
        <v>102.626</v>
      </c>
      <c r="O58" s="52">
        <f t="shared" si="2"/>
        <v>83.272000000000006</v>
      </c>
      <c r="P58" s="52">
        <f t="shared" si="3"/>
        <v>110.229</v>
      </c>
    </row>
    <row r="59" spans="1:16">
      <c r="A59">
        <v>2012</v>
      </c>
      <c r="C59">
        <v>104170</v>
      </c>
      <c r="E59">
        <v>106066</v>
      </c>
      <c r="G59">
        <v>73699</v>
      </c>
      <c r="I59">
        <v>115513</v>
      </c>
      <c r="M59" s="52">
        <f t="shared" si="0"/>
        <v>104.17</v>
      </c>
      <c r="N59" s="52">
        <f t="shared" si="1"/>
        <v>106.066</v>
      </c>
      <c r="O59" s="52">
        <f t="shared" si="2"/>
        <v>73.698999999999998</v>
      </c>
      <c r="P59" s="52">
        <f t="shared" si="3"/>
        <v>115.51300000000001</v>
      </c>
    </row>
    <row r="60" spans="1:16">
      <c r="A60">
        <v>2013</v>
      </c>
      <c r="C60">
        <v>100626</v>
      </c>
      <c r="E60">
        <v>98384</v>
      </c>
      <c r="G60">
        <v>70229</v>
      </c>
      <c r="I60">
        <v>113049</v>
      </c>
      <c r="M60" s="52">
        <f t="shared" si="0"/>
        <v>100.626</v>
      </c>
      <c r="N60" s="52">
        <f t="shared" si="1"/>
        <v>98.384</v>
      </c>
      <c r="O60" s="52">
        <f t="shared" si="2"/>
        <v>70.228999999999999</v>
      </c>
      <c r="P60" s="52">
        <f t="shared" si="3"/>
        <v>113.04900000000001</v>
      </c>
    </row>
    <row r="61" spans="1:16">
      <c r="A61">
        <v>2014</v>
      </c>
      <c r="C61">
        <v>95584</v>
      </c>
      <c r="E61">
        <v>99323</v>
      </c>
      <c r="G61">
        <v>71359</v>
      </c>
      <c r="I61">
        <v>124546</v>
      </c>
      <c r="M61" s="52">
        <f t="shared" si="0"/>
        <v>95.584000000000003</v>
      </c>
      <c r="N61" s="52">
        <f t="shared" si="1"/>
        <v>99.322999999999993</v>
      </c>
      <c r="O61" s="52">
        <f t="shared" si="2"/>
        <v>71.358999999999995</v>
      </c>
      <c r="P61" s="52">
        <f t="shared" si="3"/>
        <v>124.54600000000001</v>
      </c>
    </row>
    <row r="62" spans="1:16">
      <c r="A62">
        <v>2015</v>
      </c>
    </row>
  </sheetData>
  <mergeCells count="3">
    <mergeCell ref="A1:P1"/>
    <mergeCell ref="K4:L4"/>
    <mergeCell ref="R40:X40"/>
  </mergeCells>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0"/>
  <sheetViews>
    <sheetView showGridLines="0" zoomScaleNormal="100" workbookViewId="0">
      <selection activeCell="A10" sqref="A10"/>
    </sheetView>
  </sheetViews>
  <sheetFormatPr defaultRowHeight="15.5"/>
  <cols>
    <col min="1" max="1025" width="11"/>
  </cols>
  <sheetData>
    <row r="1" spans="1:22" ht="23.5">
      <c r="A1" s="66" t="s">
        <v>174</v>
      </c>
      <c r="B1" s="66"/>
      <c r="C1" s="66"/>
      <c r="D1" s="66"/>
      <c r="E1" s="66"/>
      <c r="F1" s="66"/>
      <c r="G1" s="66"/>
      <c r="H1" s="66"/>
      <c r="I1" s="66"/>
      <c r="J1" s="66"/>
      <c r="K1" s="66"/>
      <c r="L1" s="66"/>
      <c r="M1" s="66"/>
      <c r="N1" s="66"/>
      <c r="O1" s="66"/>
      <c r="P1" s="66"/>
      <c r="Q1" s="66"/>
      <c r="R1" s="66"/>
      <c r="S1" s="66"/>
      <c r="T1" s="66"/>
      <c r="U1" s="66"/>
      <c r="V1" s="66"/>
    </row>
    <row r="2" spans="1:22">
      <c r="A2" s="35" t="s">
        <v>175</v>
      </c>
      <c r="K2" s="35" t="s">
        <v>175</v>
      </c>
      <c r="N2" s="68" t="s">
        <v>176</v>
      </c>
      <c r="O2" s="68"/>
      <c r="P2" s="68"/>
      <c r="Q2" s="68"/>
      <c r="S2" s="68" t="s">
        <v>177</v>
      </c>
      <c r="T2" s="68"/>
      <c r="U2" s="68"/>
      <c r="V2" s="68"/>
    </row>
    <row r="3" spans="1:22">
      <c r="A3" s="33" t="s">
        <v>178</v>
      </c>
      <c r="B3" t="s">
        <v>179</v>
      </c>
      <c r="K3" s="33" t="s">
        <v>178</v>
      </c>
      <c r="N3" s="33" t="s">
        <v>2</v>
      </c>
      <c r="O3" s="33" t="s">
        <v>49</v>
      </c>
      <c r="P3" s="33" t="s">
        <v>50</v>
      </c>
      <c r="Q3" s="33" t="s">
        <v>51</v>
      </c>
      <c r="S3" s="33" t="s">
        <v>2</v>
      </c>
      <c r="T3" s="33" t="s">
        <v>49</v>
      </c>
      <c r="U3" s="33" t="s">
        <v>50</v>
      </c>
      <c r="V3" s="33" t="s">
        <v>51</v>
      </c>
    </row>
    <row r="4" spans="1:22">
      <c r="A4" t="s">
        <v>180</v>
      </c>
      <c r="B4" s="33">
        <v>1969</v>
      </c>
      <c r="C4" s="33">
        <v>1984</v>
      </c>
      <c r="D4" s="33">
        <v>1997</v>
      </c>
      <c r="M4" s="33">
        <v>1969</v>
      </c>
      <c r="N4">
        <v>0.36399999999999999</v>
      </c>
      <c r="O4">
        <v>0.39100000000000001</v>
      </c>
      <c r="P4">
        <v>0.2</v>
      </c>
      <c r="Q4">
        <v>0.313</v>
      </c>
      <c r="S4">
        <v>0.28599999999999998</v>
      </c>
      <c r="T4">
        <v>0.27200000000000002</v>
      </c>
      <c r="U4">
        <v>0.32200000000000001</v>
      </c>
      <c r="V4">
        <v>0.216</v>
      </c>
    </row>
    <row r="5" spans="1:22">
      <c r="A5" t="s">
        <v>2</v>
      </c>
      <c r="B5">
        <v>36.4</v>
      </c>
      <c r="C5">
        <v>43.5</v>
      </c>
      <c r="D5">
        <v>36.1</v>
      </c>
      <c r="M5" s="33">
        <v>1984</v>
      </c>
      <c r="N5">
        <v>0.435</v>
      </c>
      <c r="O5">
        <v>0.437</v>
      </c>
      <c r="P5">
        <v>0.20300000000000001</v>
      </c>
      <c r="Q5">
        <v>0.48699999999999999</v>
      </c>
      <c r="S5">
        <v>0.33800000000000002</v>
      </c>
      <c r="T5">
        <v>0.35399999999999998</v>
      </c>
      <c r="U5">
        <v>0.42499999999999999</v>
      </c>
      <c r="V5">
        <v>0.28000000000000003</v>
      </c>
    </row>
    <row r="6" spans="1:22">
      <c r="A6" t="s">
        <v>49</v>
      </c>
      <c r="B6">
        <v>39.1</v>
      </c>
      <c r="C6">
        <v>43.7</v>
      </c>
      <c r="D6">
        <v>42.5</v>
      </c>
      <c r="M6" s="33">
        <v>1997</v>
      </c>
      <c r="N6">
        <v>0.36099999999999999</v>
      </c>
      <c r="O6">
        <v>0.42499999999999999</v>
      </c>
      <c r="P6">
        <v>0.246</v>
      </c>
      <c r="Q6">
        <v>0.42599999999999999</v>
      </c>
      <c r="S6">
        <v>0.27500000000000002</v>
      </c>
      <c r="T6">
        <v>0.28499999999999998</v>
      </c>
      <c r="U6">
        <v>0.42499999999999999</v>
      </c>
      <c r="V6">
        <v>0.27700000000000002</v>
      </c>
    </row>
    <row r="7" spans="1:22">
      <c r="A7" t="s">
        <v>50</v>
      </c>
      <c r="B7">
        <v>20</v>
      </c>
      <c r="C7">
        <v>20.3</v>
      </c>
      <c r="D7">
        <v>24.6</v>
      </c>
    </row>
    <row r="8" spans="1:22">
      <c r="A8" t="s">
        <v>51</v>
      </c>
      <c r="B8">
        <v>31.3</v>
      </c>
      <c r="C8">
        <v>48.7</v>
      </c>
      <c r="D8">
        <v>42.6</v>
      </c>
    </row>
    <row r="10" spans="1:22" ht="96" customHeight="1">
      <c r="A10" s="67" t="s">
        <v>181</v>
      </c>
      <c r="B10" s="67"/>
      <c r="C10" s="67"/>
      <c r="D10" s="67"/>
      <c r="E10" s="67"/>
      <c r="F10" s="67"/>
      <c r="G10" s="67"/>
      <c r="H10" s="67"/>
    </row>
    <row r="11" spans="1:22">
      <c r="A11" t="s">
        <v>182</v>
      </c>
    </row>
    <row r="14" spans="1:22">
      <c r="A14" s="33" t="s">
        <v>183</v>
      </c>
      <c r="B14" t="s">
        <v>184</v>
      </c>
    </row>
    <row r="15" spans="1:22">
      <c r="A15" t="s">
        <v>180</v>
      </c>
      <c r="B15" s="33">
        <v>1969</v>
      </c>
      <c r="C15" s="33">
        <v>1984</v>
      </c>
      <c r="D15" s="33">
        <v>1997</v>
      </c>
    </row>
    <row r="16" spans="1:22">
      <c r="A16" t="s">
        <v>2</v>
      </c>
      <c r="B16" s="57">
        <v>32483</v>
      </c>
      <c r="C16" s="57">
        <v>47667</v>
      </c>
      <c r="D16" s="57">
        <v>101391</v>
      </c>
    </row>
    <row r="17" spans="1:7">
      <c r="A17" t="s">
        <v>49</v>
      </c>
      <c r="B17" s="57">
        <v>19193</v>
      </c>
      <c r="C17" s="57">
        <v>53433</v>
      </c>
      <c r="D17" s="57">
        <v>85078</v>
      </c>
    </row>
    <row r="18" spans="1:7">
      <c r="A18" t="s">
        <v>50</v>
      </c>
      <c r="B18" s="57">
        <v>57546</v>
      </c>
      <c r="C18" s="57">
        <v>47100</v>
      </c>
      <c r="D18" s="57">
        <v>76031</v>
      </c>
    </row>
    <row r="19" spans="1:7">
      <c r="A19" t="s">
        <v>51</v>
      </c>
      <c r="B19" s="57">
        <v>27399</v>
      </c>
      <c r="C19" s="57">
        <v>40872</v>
      </c>
      <c r="D19" s="57">
        <v>82452</v>
      </c>
      <c r="G19" s="41" t="s">
        <v>185</v>
      </c>
    </row>
    <row r="20" spans="1:7">
      <c r="G20" s="43"/>
    </row>
    <row r="21" spans="1:7">
      <c r="A21" t="s">
        <v>186</v>
      </c>
      <c r="B21" s="33">
        <v>1969</v>
      </c>
      <c r="C21" s="33">
        <v>1984</v>
      </c>
      <c r="D21" s="33">
        <v>1997</v>
      </c>
    </row>
    <row r="22" spans="1:7">
      <c r="A22" t="s">
        <v>2</v>
      </c>
      <c r="B22" s="57">
        <f t="shared" ref="B22:D25" si="0">B5/100*B16</f>
        <v>11823.812</v>
      </c>
      <c r="C22" s="57">
        <f t="shared" si="0"/>
        <v>20735.145</v>
      </c>
      <c r="D22" s="57">
        <f t="shared" si="0"/>
        <v>36602.150999999998</v>
      </c>
    </row>
    <row r="23" spans="1:7">
      <c r="A23" t="s">
        <v>49</v>
      </c>
      <c r="B23" s="57">
        <f t="shared" si="0"/>
        <v>7504.4630000000006</v>
      </c>
      <c r="C23" s="57">
        <f t="shared" si="0"/>
        <v>23350.221000000001</v>
      </c>
      <c r="D23" s="57">
        <f t="shared" si="0"/>
        <v>36158.15</v>
      </c>
    </row>
    <row r="24" spans="1:7">
      <c r="A24" t="s">
        <v>50</v>
      </c>
      <c r="B24" s="57">
        <f t="shared" si="0"/>
        <v>11509.2</v>
      </c>
      <c r="C24" s="57">
        <f t="shared" si="0"/>
        <v>9561.3000000000011</v>
      </c>
      <c r="D24" s="57">
        <f t="shared" si="0"/>
        <v>18703.626</v>
      </c>
    </row>
    <row r="25" spans="1:7">
      <c r="A25" t="s">
        <v>51</v>
      </c>
      <c r="B25" s="57">
        <f t="shared" si="0"/>
        <v>8575.8870000000006</v>
      </c>
      <c r="C25" s="57">
        <f t="shared" si="0"/>
        <v>19904.664000000001</v>
      </c>
      <c r="D25" s="57">
        <f t="shared" si="0"/>
        <v>35124.551999999996</v>
      </c>
    </row>
    <row r="28" spans="1:7">
      <c r="A28" s="41" t="s">
        <v>187</v>
      </c>
    </row>
    <row r="29" spans="1:7">
      <c r="A29" s="35" t="s">
        <v>54</v>
      </c>
    </row>
    <row r="30" spans="1:7">
      <c r="A30" s="33" t="s">
        <v>188</v>
      </c>
      <c r="B30" t="s">
        <v>189</v>
      </c>
    </row>
    <row r="31" spans="1:7">
      <c r="B31" s="33">
        <v>1960</v>
      </c>
      <c r="C31" s="33">
        <v>1965</v>
      </c>
      <c r="D31" s="33">
        <v>1970</v>
      </c>
      <c r="E31" s="33">
        <v>1975</v>
      </c>
      <c r="F31" s="33">
        <v>1979</v>
      </c>
      <c r="G31" s="33">
        <v>1984</v>
      </c>
    </row>
    <row r="32" spans="1:7">
      <c r="A32" t="s">
        <v>2</v>
      </c>
      <c r="B32">
        <v>16.5</v>
      </c>
      <c r="C32">
        <v>18.5</v>
      </c>
      <c r="D32">
        <v>21.2</v>
      </c>
      <c r="E32">
        <v>26</v>
      </c>
      <c r="F32">
        <v>27.5</v>
      </c>
      <c r="G32">
        <v>36.799999999999997</v>
      </c>
    </row>
    <row r="33" spans="1:7">
      <c r="A33" t="s">
        <v>49</v>
      </c>
      <c r="B33">
        <v>9.7899999999999991</v>
      </c>
      <c r="C33">
        <v>10.9</v>
      </c>
      <c r="D33">
        <v>14.7</v>
      </c>
      <c r="E33">
        <v>23.9</v>
      </c>
      <c r="F33">
        <v>40.6</v>
      </c>
      <c r="G33">
        <v>41.9</v>
      </c>
    </row>
    <row r="34" spans="1:7">
      <c r="A34" t="s">
        <v>190</v>
      </c>
    </row>
    <row r="39" spans="1:7">
      <c r="A39" t="s">
        <v>191</v>
      </c>
    </row>
    <row r="40" spans="1:7">
      <c r="A40" t="s">
        <v>192</v>
      </c>
    </row>
  </sheetData>
  <mergeCells count="4">
    <mergeCell ref="A1:V1"/>
    <mergeCell ref="N2:Q2"/>
    <mergeCell ref="S2:V2"/>
    <mergeCell ref="A10:H10"/>
  </mergeCells>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2"/>
  <sheetViews>
    <sheetView showGridLines="0" zoomScaleNormal="100" workbookViewId="0">
      <pane ySplit="5" topLeftCell="A6" activePane="bottomLeft" state="frozen"/>
      <selection pane="bottomLeft" activeCell="B7" sqref="B7"/>
    </sheetView>
  </sheetViews>
  <sheetFormatPr defaultRowHeight="15.5"/>
  <cols>
    <col min="1" max="1" width="11"/>
    <col min="2" max="2" width="16.25"/>
    <col min="3" max="3" width="16"/>
    <col min="4" max="4" width="16.9140625"/>
    <col min="5" max="5" width="16"/>
    <col min="6" max="6" width="11"/>
    <col min="7" max="7" width="21.1640625"/>
    <col min="8" max="12" width="11"/>
    <col min="13" max="13" width="48.5"/>
    <col min="14" max="1025" width="11"/>
  </cols>
  <sheetData>
    <row r="1" spans="1:5" ht="23.5">
      <c r="A1" s="66" t="s">
        <v>193</v>
      </c>
      <c r="B1" s="66"/>
      <c r="C1" s="66"/>
      <c r="D1" s="66"/>
      <c r="E1" s="66"/>
    </row>
    <row r="3" spans="1:5">
      <c r="B3" s="33" t="s">
        <v>2</v>
      </c>
      <c r="C3" s="33" t="s">
        <v>49</v>
      </c>
      <c r="D3" s="33" t="s">
        <v>50</v>
      </c>
      <c r="E3" s="33" t="s">
        <v>51</v>
      </c>
    </row>
    <row r="4" spans="1:5" ht="104" customHeight="1">
      <c r="B4" s="45" t="s">
        <v>194</v>
      </c>
      <c r="C4" s="45" t="s">
        <v>194</v>
      </c>
      <c r="D4" s="45" t="s">
        <v>194</v>
      </c>
      <c r="E4" s="45" t="s">
        <v>194</v>
      </c>
    </row>
    <row r="5" spans="1:5" ht="31">
      <c r="A5" s="33" t="s">
        <v>38</v>
      </c>
      <c r="B5" s="61" t="s">
        <v>195</v>
      </c>
      <c r="C5" s="61" t="s">
        <v>195</v>
      </c>
      <c r="D5" s="61" t="s">
        <v>195</v>
      </c>
      <c r="E5" s="61" t="s">
        <v>195</v>
      </c>
    </row>
    <row r="6" spans="1:5">
      <c r="A6" s="33" t="s">
        <v>47</v>
      </c>
      <c r="B6" s="61"/>
      <c r="C6" s="61"/>
      <c r="D6" s="61"/>
      <c r="E6" s="61"/>
    </row>
    <row r="7" spans="1:5">
      <c r="A7">
        <v>1960</v>
      </c>
      <c r="B7" s="42">
        <v>4.0525368589891899</v>
      </c>
      <c r="C7" s="42">
        <v>1.8113430555047001</v>
      </c>
      <c r="D7" s="42">
        <v>18.473842941639798</v>
      </c>
      <c r="E7" s="42">
        <v>5.3785667039736103</v>
      </c>
    </row>
    <row r="8" spans="1:5">
      <c r="A8">
        <v>1961</v>
      </c>
      <c r="B8" s="42">
        <v>4.3088327812568803</v>
      </c>
      <c r="C8" s="42">
        <v>1.98927769667258</v>
      </c>
      <c r="D8" s="42">
        <v>19.166560859133199</v>
      </c>
      <c r="E8" s="42">
        <v>5.8004956080418903</v>
      </c>
    </row>
    <row r="9" spans="1:5">
      <c r="A9">
        <v>1962</v>
      </c>
      <c r="B9" s="42">
        <v>4.6727479067745596</v>
      </c>
      <c r="C9" s="42">
        <v>2.2355332256599798</v>
      </c>
      <c r="D9" s="42">
        <v>18.684450588455999</v>
      </c>
      <c r="E9" s="42">
        <v>5.9396326041505301</v>
      </c>
    </row>
    <row r="10" spans="1:5">
      <c r="A10">
        <v>1963</v>
      </c>
      <c r="B10" s="42">
        <v>4.9979411408123999</v>
      </c>
      <c r="C10" s="42">
        <v>2.4637304557799999</v>
      </c>
      <c r="D10" s="42">
        <v>18.670468091319002</v>
      </c>
      <c r="E10" s="42">
        <v>6.3354350616658204</v>
      </c>
    </row>
    <row r="11" spans="1:5">
      <c r="A11">
        <v>1964</v>
      </c>
      <c r="B11" s="42">
        <v>5.5886652472924396</v>
      </c>
      <c r="C11" s="42">
        <v>2.95674512235568</v>
      </c>
      <c r="D11" s="42">
        <v>18.674438337520801</v>
      </c>
      <c r="E11" s="42">
        <v>6.4744046261260104</v>
      </c>
    </row>
    <row r="12" spans="1:5">
      <c r="A12">
        <v>1965</v>
      </c>
      <c r="B12" s="42">
        <v>6.0835107158115598</v>
      </c>
      <c r="C12" s="42">
        <v>3.3506731094887199</v>
      </c>
      <c r="D12" s="42">
        <v>19.062062411333599</v>
      </c>
      <c r="E12" s="42">
        <v>7.1521749972081201</v>
      </c>
    </row>
    <row r="13" spans="1:5">
      <c r="A13">
        <v>1966</v>
      </c>
      <c r="B13" s="42">
        <v>6.7930739662951201</v>
      </c>
      <c r="C13" s="42">
        <v>4.0170317040672003</v>
      </c>
      <c r="D13" s="42">
        <v>19.428920854274399</v>
      </c>
      <c r="E13" s="42">
        <v>7.4718895107641403</v>
      </c>
    </row>
    <row r="14" spans="1:5">
      <c r="A14">
        <v>1967</v>
      </c>
      <c r="B14" s="42">
        <v>7.4069195054022003</v>
      </c>
      <c r="C14" s="42">
        <v>4.6424121931466997</v>
      </c>
      <c r="D14" s="42">
        <v>19.575826796967</v>
      </c>
      <c r="E14" s="42">
        <v>7.9581190116032197</v>
      </c>
    </row>
    <row r="15" spans="1:5">
      <c r="A15">
        <v>1968</v>
      </c>
      <c r="B15" s="42">
        <v>7.4681782445139602</v>
      </c>
      <c r="C15" s="42">
        <v>4.8955551530426904</v>
      </c>
      <c r="D15" s="42">
        <v>18.346120924262301</v>
      </c>
      <c r="E15" s="42">
        <v>7.8614035740969497</v>
      </c>
    </row>
    <row r="16" spans="1:5">
      <c r="A16">
        <v>1969</v>
      </c>
      <c r="B16" s="42">
        <v>7.6369930130673902</v>
      </c>
      <c r="C16" s="42">
        <v>5.1693281633951997</v>
      </c>
      <c r="D16" s="42">
        <v>17.091570754551299</v>
      </c>
      <c r="E16" s="42">
        <v>7.6567070158635104</v>
      </c>
    </row>
    <row r="17" spans="1:5">
      <c r="A17">
        <v>1970</v>
      </c>
      <c r="B17" s="42">
        <v>7.3617498141241304</v>
      </c>
      <c r="C17" s="42">
        <v>4.8189987237447696</v>
      </c>
      <c r="D17" s="42">
        <v>13.176663421000599</v>
      </c>
      <c r="E17" s="42">
        <v>6.7502572639811902</v>
      </c>
    </row>
    <row r="18" spans="1:5">
      <c r="A18">
        <v>1971</v>
      </c>
      <c r="B18" s="42">
        <v>8.1786310339830308</v>
      </c>
      <c r="C18" s="42">
        <v>5.2833712718817702</v>
      </c>
      <c r="D18" s="42">
        <v>14.2748304093287</v>
      </c>
      <c r="E18" s="42">
        <v>6.7305624670686104</v>
      </c>
    </row>
    <row r="19" spans="1:5">
      <c r="A19">
        <v>1972</v>
      </c>
      <c r="B19" s="42">
        <v>8.6806043156844002</v>
      </c>
      <c r="C19" s="42">
        <v>6.0004759655382101</v>
      </c>
      <c r="D19" s="42">
        <v>16.276566604740001</v>
      </c>
      <c r="E19" s="42">
        <v>7.3100532150004396</v>
      </c>
    </row>
    <row r="20" spans="1:5">
      <c r="A20">
        <v>1973</v>
      </c>
      <c r="B20" s="42">
        <v>8.9365814562051806</v>
      </c>
      <c r="C20" s="42">
        <v>7.2040408487400498</v>
      </c>
      <c r="D20" s="42">
        <v>18.4316005924953</v>
      </c>
      <c r="E20" s="42">
        <v>7.4388739191919999</v>
      </c>
    </row>
    <row r="21" spans="1:5">
      <c r="A21">
        <v>1974</v>
      </c>
      <c r="B21" s="42">
        <v>9.9680954498563192</v>
      </c>
      <c r="C21" s="42">
        <v>8.08196620021657</v>
      </c>
      <c r="D21" s="42">
        <v>18.497950147852599</v>
      </c>
      <c r="E21" s="42">
        <v>8.0329412598071901</v>
      </c>
    </row>
    <row r="22" spans="1:5">
      <c r="A22">
        <v>1975</v>
      </c>
      <c r="B22" s="42">
        <v>11.3205971784376</v>
      </c>
      <c r="C22" s="42">
        <v>9.6745659197488294</v>
      </c>
      <c r="D22" s="42">
        <v>20.012372344158699</v>
      </c>
      <c r="E22" s="42">
        <v>9.2499922679297697</v>
      </c>
    </row>
    <row r="23" spans="1:5">
      <c r="A23">
        <v>1976</v>
      </c>
      <c r="B23" s="42">
        <v>13.4350521635138</v>
      </c>
      <c r="C23" s="42">
        <v>12.2542814259912</v>
      </c>
      <c r="D23" s="42">
        <v>20.513902919739198</v>
      </c>
      <c r="E23" s="42">
        <v>11.145148762858399</v>
      </c>
    </row>
    <row r="24" spans="1:5">
      <c r="A24">
        <v>1977</v>
      </c>
      <c r="B24" s="42">
        <v>14.663166767616101</v>
      </c>
      <c r="C24" s="42">
        <v>14.3100857800419</v>
      </c>
      <c r="D24" s="42">
        <v>23.555002054476699</v>
      </c>
      <c r="E24" s="42">
        <v>13.3044464322414</v>
      </c>
    </row>
    <row r="25" spans="1:5">
      <c r="A25">
        <v>1978</v>
      </c>
      <c r="B25" s="42">
        <v>16.758720006909101</v>
      </c>
      <c r="C25" s="42">
        <v>16.7718252212834</v>
      </c>
      <c r="D25" s="42">
        <v>23.597208509875699</v>
      </c>
      <c r="E25" s="42">
        <v>14.366215271113701</v>
      </c>
    </row>
    <row r="26" spans="1:5">
      <c r="A26">
        <v>1979</v>
      </c>
      <c r="B26" s="42">
        <v>19.5107998963664</v>
      </c>
      <c r="C26" s="42">
        <v>19.113912483953801</v>
      </c>
      <c r="D26" s="42">
        <v>23.818079487061102</v>
      </c>
      <c r="E26" s="42">
        <v>15.875868283073901</v>
      </c>
    </row>
    <row r="27" spans="1:5">
      <c r="A27">
        <v>1980</v>
      </c>
      <c r="B27" s="42">
        <v>22.361062014855001</v>
      </c>
      <c r="C27" s="42">
        <v>22.255369219623098</v>
      </c>
      <c r="D27" s="42">
        <v>25.916862841827701</v>
      </c>
      <c r="E27" s="42">
        <v>19.359651114227098</v>
      </c>
    </row>
    <row r="28" spans="1:5">
      <c r="A28">
        <v>1981</v>
      </c>
      <c r="B28" s="42">
        <v>25.151970594173399</v>
      </c>
      <c r="C28" s="42">
        <v>24.874003099640401</v>
      </c>
      <c r="D28" s="42">
        <v>30.8238027692339</v>
      </c>
      <c r="E28" s="42">
        <v>22.1354993032027</v>
      </c>
    </row>
    <row r="29" spans="1:5">
      <c r="A29">
        <v>1982</v>
      </c>
      <c r="B29" s="42">
        <v>27.1713005186981</v>
      </c>
      <c r="C29" s="42">
        <v>26.868421367567102</v>
      </c>
      <c r="D29" s="42">
        <v>30.986747965216399</v>
      </c>
      <c r="E29" s="42">
        <v>24.863983637734801</v>
      </c>
    </row>
    <row r="30" spans="1:5">
      <c r="A30">
        <v>1983</v>
      </c>
      <c r="B30" s="42">
        <v>30.010295530807898</v>
      </c>
      <c r="C30" s="42">
        <v>28.872019609701901</v>
      </c>
      <c r="D30" s="42">
        <v>31.029897278426301</v>
      </c>
      <c r="E30" s="42">
        <v>27.493297187996099</v>
      </c>
    </row>
    <row r="31" spans="1:5">
      <c r="A31">
        <v>1984</v>
      </c>
      <c r="B31" s="42">
        <v>30.944943949999999</v>
      </c>
      <c r="C31" s="42">
        <v>29.371106910000002</v>
      </c>
      <c r="D31" s="42">
        <v>30.47523228</v>
      </c>
      <c r="E31" s="42">
        <v>29.33850425</v>
      </c>
    </row>
    <row r="32" spans="1:5">
      <c r="A32">
        <v>1985</v>
      </c>
      <c r="B32" s="42">
        <v>33.671424300401597</v>
      </c>
      <c r="C32" s="42">
        <v>33.298981822035202</v>
      </c>
      <c r="D32" s="42">
        <v>30.676189647066401</v>
      </c>
      <c r="E32" s="42">
        <v>32.301900669972802</v>
      </c>
    </row>
    <row r="33" spans="1:5">
      <c r="A33">
        <v>1986</v>
      </c>
      <c r="B33" s="42">
        <v>35.875191962358997</v>
      </c>
      <c r="C33" s="42">
        <v>33.07401619158</v>
      </c>
      <c r="D33" s="42">
        <v>30.382225690226999</v>
      </c>
      <c r="E33" s="42">
        <v>34.236376684193502</v>
      </c>
    </row>
    <row r="34" spans="1:5">
      <c r="A34">
        <v>1987</v>
      </c>
      <c r="B34" s="42">
        <v>37.822748442458803</v>
      </c>
      <c r="C34" s="42">
        <v>34.166748171551298</v>
      </c>
      <c r="D34" s="42">
        <v>33.588603579898297</v>
      </c>
      <c r="E34" s="42">
        <v>34.681645989172402</v>
      </c>
    </row>
    <row r="35" spans="1:5">
      <c r="A35">
        <v>1988</v>
      </c>
      <c r="B35" s="42">
        <v>40.683145050320498</v>
      </c>
      <c r="C35" s="42">
        <v>35.540752545617202</v>
      </c>
      <c r="D35" s="42">
        <v>35.833938417986097</v>
      </c>
      <c r="E35" s="42">
        <v>40.639049448117397</v>
      </c>
    </row>
    <row r="36" spans="1:5">
      <c r="A36">
        <v>1989</v>
      </c>
      <c r="B36" s="42">
        <v>43.155494944709801</v>
      </c>
      <c r="C36" s="42">
        <v>38.015126448260702</v>
      </c>
      <c r="D36" s="42">
        <v>39.109771246843202</v>
      </c>
      <c r="E36" s="42">
        <v>40.693453050755799</v>
      </c>
    </row>
    <row r="37" spans="1:5">
      <c r="A37">
        <v>1990</v>
      </c>
      <c r="B37" s="42">
        <v>46.484439869424698</v>
      </c>
      <c r="C37" s="42">
        <v>40.733023050736797</v>
      </c>
      <c r="D37" s="42">
        <v>41.532360320012998</v>
      </c>
      <c r="E37" s="42">
        <v>46.307936416466497</v>
      </c>
    </row>
    <row r="38" spans="1:5">
      <c r="A38">
        <v>1991</v>
      </c>
      <c r="B38" s="42">
        <v>50.075292922213102</v>
      </c>
      <c r="C38" s="42">
        <v>41.176096370605997</v>
      </c>
      <c r="D38" s="42">
        <v>41.902398818037597</v>
      </c>
      <c r="E38" s="42">
        <v>45.026937313856202</v>
      </c>
    </row>
    <row r="39" spans="1:5">
      <c r="A39">
        <v>1992</v>
      </c>
      <c r="B39" s="42">
        <v>51.235261678068397</v>
      </c>
      <c r="C39" s="42">
        <v>40.753273498213701</v>
      </c>
      <c r="D39" s="42">
        <v>43.351517393672701</v>
      </c>
      <c r="E39" s="42">
        <v>47.847772422941198</v>
      </c>
    </row>
    <row r="40" spans="1:5">
      <c r="A40">
        <v>1993</v>
      </c>
      <c r="B40" s="42">
        <v>51.835618108128401</v>
      </c>
      <c r="C40" s="42">
        <v>39.706196649826602</v>
      </c>
      <c r="D40" s="42">
        <v>45.589073925703801</v>
      </c>
      <c r="E40" s="42">
        <v>48.442440635802697</v>
      </c>
    </row>
    <row r="41" spans="1:5">
      <c r="A41">
        <v>1994</v>
      </c>
      <c r="B41" s="42">
        <v>52.4907451479489</v>
      </c>
      <c r="C41" s="42">
        <v>47.848340202956201</v>
      </c>
      <c r="D41" s="42">
        <v>65.7343483500498</v>
      </c>
      <c r="E41" s="42">
        <v>53.776425249004397</v>
      </c>
    </row>
    <row r="42" spans="1:5">
      <c r="A42">
        <v>1995</v>
      </c>
      <c r="B42" s="42">
        <v>58.593408700628601</v>
      </c>
      <c r="C42" s="42">
        <v>45.457477020790897</v>
      </c>
      <c r="D42" s="42">
        <v>54.697760385687502</v>
      </c>
      <c r="E42" s="42">
        <v>56.8184328587312</v>
      </c>
    </row>
    <row r="43" spans="1:5">
      <c r="A43">
        <v>1996</v>
      </c>
      <c r="B43" s="42">
        <v>51.035099438494498</v>
      </c>
      <c r="C43" s="42">
        <v>42.512777670140203</v>
      </c>
      <c r="D43" s="42">
        <v>52.345143081399399</v>
      </c>
      <c r="E43" s="42">
        <v>52.928034001500698</v>
      </c>
    </row>
    <row r="44" spans="1:5">
      <c r="A44">
        <v>1997</v>
      </c>
      <c r="B44" s="42">
        <v>53.287117329305602</v>
      </c>
      <c r="C44" s="42">
        <v>44.992592840939601</v>
      </c>
      <c r="D44" s="42">
        <v>53.397756211331597</v>
      </c>
      <c r="E44" s="42">
        <v>55.2008655400602</v>
      </c>
    </row>
    <row r="45" spans="1:5">
      <c r="A45">
        <v>1998</v>
      </c>
      <c r="B45" s="42">
        <v>42.4583330278086</v>
      </c>
      <c r="C45" s="42">
        <v>35.716684129925397</v>
      </c>
      <c r="D45" s="42">
        <v>42.385516518429</v>
      </c>
      <c r="E45" s="42">
        <v>44.1056030490155</v>
      </c>
    </row>
    <row r="46" spans="1:5">
      <c r="A46">
        <v>1999</v>
      </c>
      <c r="B46" s="42">
        <v>46.154661279497098</v>
      </c>
      <c r="C46" s="42">
        <v>41.760349938380401</v>
      </c>
      <c r="D46" s="42">
        <v>44.725764589323603</v>
      </c>
      <c r="E46" s="42">
        <v>46.605421160370597</v>
      </c>
    </row>
    <row r="47" spans="1:5">
      <c r="A47">
        <v>2000</v>
      </c>
      <c r="B47" s="42">
        <v>47.589723672429997</v>
      </c>
      <c r="C47" s="42">
        <v>36.620042260142498</v>
      </c>
      <c r="D47" s="42">
        <v>44.901993518807501</v>
      </c>
      <c r="E47" s="42">
        <v>52.828570569699998</v>
      </c>
    </row>
    <row r="48" spans="1:5">
      <c r="A48">
        <v>2001</v>
      </c>
      <c r="B48" s="42">
        <v>45.3743896077088</v>
      </c>
      <c r="C48" s="42">
        <v>38.066297881452797</v>
      </c>
      <c r="D48" s="42">
        <v>45.779128249667203</v>
      </c>
      <c r="E48" s="42">
        <v>54.135095110346398</v>
      </c>
    </row>
    <row r="49" spans="1:5">
      <c r="A49">
        <v>2002</v>
      </c>
      <c r="B49" s="42">
        <v>45.125102309539301</v>
      </c>
      <c r="C49" s="42">
        <v>43.961890021143901</v>
      </c>
      <c r="D49" s="42">
        <v>48.103527410179801</v>
      </c>
      <c r="E49" s="42">
        <v>58.908892809067297</v>
      </c>
    </row>
    <row r="50" spans="1:5">
      <c r="A50">
        <v>2003</v>
      </c>
      <c r="B50" s="42">
        <v>44.748475318675901</v>
      </c>
      <c r="C50" s="42">
        <v>43.681209477743202</v>
      </c>
      <c r="D50" s="42">
        <v>49.848307490349299</v>
      </c>
      <c r="E50" s="42">
        <v>64.619783708467395</v>
      </c>
    </row>
    <row r="51" spans="1:5">
      <c r="A51">
        <v>2004</v>
      </c>
      <c r="B51" s="42">
        <v>51.448305870494998</v>
      </c>
      <c r="C51" s="42">
        <v>51.994984278330001</v>
      </c>
      <c r="D51" s="42">
        <v>51.716255319749997</v>
      </c>
      <c r="E51" s="42">
        <v>65.100534250727605</v>
      </c>
    </row>
    <row r="52" spans="1:5">
      <c r="A52">
        <v>2005</v>
      </c>
      <c r="B52" s="42">
        <v>52.847522111750401</v>
      </c>
      <c r="C52" s="42">
        <v>55.189115566293601</v>
      </c>
      <c r="D52" s="42">
        <v>51.079156383909599</v>
      </c>
      <c r="E52" s="42">
        <v>63.962362759366101</v>
      </c>
    </row>
    <row r="53" spans="1:5">
      <c r="A53">
        <v>2006</v>
      </c>
      <c r="B53" s="42">
        <v>51.830892959880501</v>
      </c>
      <c r="C53" s="42">
        <v>55.179278588434798</v>
      </c>
      <c r="D53" s="42">
        <v>50.895924273264498</v>
      </c>
      <c r="E53" s="42">
        <v>65.659184066839899</v>
      </c>
    </row>
    <row r="54" spans="1:5">
      <c r="A54">
        <v>2007</v>
      </c>
      <c r="B54" s="42">
        <v>54.340486178186097</v>
      </c>
      <c r="C54" s="42">
        <v>64.904237017959403</v>
      </c>
      <c r="D54" s="42">
        <v>51.1099739096394</v>
      </c>
      <c r="E54" s="42">
        <v>63.293590402088903</v>
      </c>
    </row>
    <row r="55" spans="1:5">
      <c r="A55">
        <v>2008</v>
      </c>
      <c r="B55" s="42">
        <v>52.585681797042703</v>
      </c>
      <c r="C55" s="42">
        <v>65.941843349121598</v>
      </c>
      <c r="D55" s="42">
        <v>54.707997180757502</v>
      </c>
      <c r="E55" s="42">
        <v>58.2733302638608</v>
      </c>
    </row>
    <row r="56" spans="1:5">
      <c r="A56">
        <v>2009</v>
      </c>
      <c r="B56" s="42">
        <v>54.423777299739001</v>
      </c>
      <c r="C56" s="42">
        <v>68.168954007959996</v>
      </c>
      <c r="D56" s="42">
        <v>48.349475778893002</v>
      </c>
      <c r="E56" s="42">
        <v>60.780548336097397</v>
      </c>
    </row>
    <row r="57" spans="1:5">
      <c r="A57">
        <v>2010</v>
      </c>
    </row>
    <row r="58" spans="1:5">
      <c r="A58">
        <v>2011</v>
      </c>
    </row>
    <row r="59" spans="1:5">
      <c r="A59">
        <v>2012</v>
      </c>
    </row>
    <row r="60" spans="1:5">
      <c r="A60">
        <v>2013</v>
      </c>
    </row>
    <row r="61" spans="1:5">
      <c r="A61">
        <v>2014</v>
      </c>
    </row>
    <row r="62" spans="1:5">
      <c r="A62">
        <v>2015</v>
      </c>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showGridLines="0" zoomScaleNormal="100" workbookViewId="0">
      <selection activeCell="E23" sqref="E23"/>
    </sheetView>
  </sheetViews>
  <sheetFormatPr defaultRowHeight="15.5"/>
  <cols>
    <col min="1" max="1025" width="11"/>
  </cols>
  <sheetData>
    <row r="1" spans="1:2">
      <c r="A1" s="33" t="s">
        <v>2</v>
      </c>
      <c r="B1">
        <v>1</v>
      </c>
    </row>
    <row r="2" spans="1:2">
      <c r="A2" s="33" t="s">
        <v>49</v>
      </c>
      <c r="B2">
        <v>2</v>
      </c>
    </row>
    <row r="3" spans="1:2">
      <c r="A3" s="33" t="s">
        <v>50</v>
      </c>
      <c r="B3">
        <v>3</v>
      </c>
    </row>
    <row r="4" spans="1:2">
      <c r="A4" s="33" t="s">
        <v>51</v>
      </c>
      <c r="B4">
        <v>4</v>
      </c>
    </row>
  </sheetData>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V75"/>
  <sheetViews>
    <sheetView zoomScaleNormal="100" workbookViewId="0">
      <selection activeCell="I4" sqref="I4"/>
    </sheetView>
  </sheetViews>
  <sheetFormatPr defaultRowHeight="15.5"/>
  <cols>
    <col min="1" max="1025" width="11"/>
  </cols>
  <sheetData>
    <row r="7" spans="1:22" ht="21">
      <c r="A7" s="39" t="s">
        <v>196</v>
      </c>
    </row>
    <row r="10" spans="1:22">
      <c r="A10" t="s">
        <v>1</v>
      </c>
      <c r="B10" t="s">
        <v>2</v>
      </c>
      <c r="C10">
        <v>1</v>
      </c>
      <c r="G10" t="s">
        <v>1</v>
      </c>
      <c r="H10" t="s">
        <v>49</v>
      </c>
      <c r="I10">
        <v>2</v>
      </c>
      <c r="M10" t="s">
        <v>1</v>
      </c>
      <c r="N10" t="s">
        <v>50</v>
      </c>
      <c r="O10">
        <v>3</v>
      </c>
      <c r="S10" t="s">
        <v>1</v>
      </c>
      <c r="T10" t="s">
        <v>51</v>
      </c>
      <c r="U10">
        <v>4</v>
      </c>
    </row>
    <row r="12" spans="1:22">
      <c r="B12" t="s">
        <v>3</v>
      </c>
      <c r="C12" t="s">
        <v>197</v>
      </c>
      <c r="D12" t="s">
        <v>5</v>
      </c>
      <c r="H12" t="s">
        <v>3</v>
      </c>
      <c r="I12" t="s">
        <v>4</v>
      </c>
      <c r="J12" t="s">
        <v>5</v>
      </c>
      <c r="N12" t="s">
        <v>3</v>
      </c>
      <c r="O12" t="s">
        <v>4</v>
      </c>
      <c r="P12" t="s">
        <v>5</v>
      </c>
      <c r="T12" t="s">
        <v>3</v>
      </c>
      <c r="U12" t="s">
        <v>4</v>
      </c>
      <c r="V12" t="s">
        <v>5</v>
      </c>
    </row>
    <row r="13" spans="1:22">
      <c r="A13" t="s">
        <v>13</v>
      </c>
      <c r="G13" t="s">
        <v>13</v>
      </c>
      <c r="M13" t="s">
        <v>13</v>
      </c>
      <c r="S13" t="s">
        <v>13</v>
      </c>
    </row>
    <row r="14" spans="1:22">
      <c r="A14" t="s">
        <v>17</v>
      </c>
      <c r="B14" t="s">
        <v>18</v>
      </c>
      <c r="C14" t="s">
        <v>19</v>
      </c>
      <c r="D14" t="s">
        <v>198</v>
      </c>
      <c r="G14" t="s">
        <v>17</v>
      </c>
      <c r="H14" t="s">
        <v>18</v>
      </c>
      <c r="I14" t="s">
        <v>19</v>
      </c>
      <c r="J14" t="s">
        <v>198</v>
      </c>
      <c r="M14" t="s">
        <v>17</v>
      </c>
      <c r="N14" t="s">
        <v>18</v>
      </c>
      <c r="O14" t="s">
        <v>19</v>
      </c>
      <c r="P14" t="s">
        <v>198</v>
      </c>
      <c r="S14" t="s">
        <v>17</v>
      </c>
      <c r="T14" t="s">
        <v>18</v>
      </c>
      <c r="U14" t="s">
        <v>19</v>
      </c>
      <c r="V14" t="s">
        <v>198</v>
      </c>
    </row>
    <row r="15" spans="1:22">
      <c r="A15" t="s">
        <v>25</v>
      </c>
      <c r="B15" t="s">
        <v>26</v>
      </c>
      <c r="C15" t="s">
        <v>27</v>
      </c>
      <c r="D15" t="s">
        <v>27</v>
      </c>
      <c r="G15" t="s">
        <v>25</v>
      </c>
      <c r="H15" t="s">
        <v>26</v>
      </c>
      <c r="I15" t="s">
        <v>27</v>
      </c>
      <c r="J15" t="s">
        <v>27</v>
      </c>
      <c r="M15" t="s">
        <v>25</v>
      </c>
      <c r="N15" t="s">
        <v>26</v>
      </c>
      <c r="O15" t="s">
        <v>27</v>
      </c>
      <c r="P15" t="s">
        <v>27</v>
      </c>
      <c r="S15" t="s">
        <v>25</v>
      </c>
      <c r="T15" t="s">
        <v>26</v>
      </c>
      <c r="U15" t="s">
        <v>27</v>
      </c>
      <c r="V15" t="s">
        <v>27</v>
      </c>
    </row>
    <row r="16" spans="1:22">
      <c r="A16" t="s">
        <v>29</v>
      </c>
      <c r="B16" t="s">
        <v>30</v>
      </c>
      <c r="C16" t="s">
        <v>31</v>
      </c>
      <c r="D16" t="s">
        <v>31</v>
      </c>
      <c r="G16" t="s">
        <v>29</v>
      </c>
      <c r="H16" t="s">
        <v>30</v>
      </c>
      <c r="I16" t="s">
        <v>31</v>
      </c>
      <c r="J16" t="s">
        <v>31</v>
      </c>
      <c r="M16" t="s">
        <v>29</v>
      </c>
      <c r="N16" t="s">
        <v>30</v>
      </c>
      <c r="O16" t="s">
        <v>31</v>
      </c>
      <c r="P16" t="s">
        <v>31</v>
      </c>
      <c r="S16" t="s">
        <v>29</v>
      </c>
      <c r="T16" t="s">
        <v>30</v>
      </c>
      <c r="U16" t="s">
        <v>31</v>
      </c>
      <c r="V16" t="s">
        <v>31</v>
      </c>
    </row>
    <row r="17" spans="1:22">
      <c r="A17" t="s">
        <v>38</v>
      </c>
      <c r="B17" t="s">
        <v>39</v>
      </c>
      <c r="C17" t="s">
        <v>40</v>
      </c>
      <c r="D17" t="s">
        <v>40</v>
      </c>
      <c r="G17" t="s">
        <v>38</v>
      </c>
      <c r="H17" t="s">
        <v>39</v>
      </c>
      <c r="I17" t="s">
        <v>40</v>
      </c>
      <c r="J17" t="s">
        <v>40</v>
      </c>
      <c r="M17" t="s">
        <v>38</v>
      </c>
      <c r="N17" t="s">
        <v>39</v>
      </c>
      <c r="O17" t="s">
        <v>40</v>
      </c>
      <c r="P17" t="s">
        <v>40</v>
      </c>
      <c r="S17" t="s">
        <v>38</v>
      </c>
      <c r="T17" t="s">
        <v>39</v>
      </c>
      <c r="U17" t="s">
        <v>40</v>
      </c>
      <c r="V17" t="s">
        <v>40</v>
      </c>
    </row>
    <row r="18" spans="1:22">
      <c r="A18" s="62" t="s">
        <v>199</v>
      </c>
      <c r="B18" s="21" t="s">
        <v>200</v>
      </c>
      <c r="G18" s="62" t="s">
        <v>201</v>
      </c>
      <c r="H18" s="21" t="s">
        <v>200</v>
      </c>
      <c r="M18" s="62" t="s">
        <v>202</v>
      </c>
      <c r="N18" s="21" t="s">
        <v>203</v>
      </c>
      <c r="S18" s="62" t="s">
        <v>204</v>
      </c>
      <c r="T18" s="21" t="s">
        <v>200</v>
      </c>
    </row>
    <row r="19" spans="1:22">
      <c r="A19" t="s">
        <v>47</v>
      </c>
      <c r="G19" t="s">
        <v>47</v>
      </c>
      <c r="M19" t="s">
        <v>47</v>
      </c>
      <c r="S19" t="s">
        <v>47</v>
      </c>
    </row>
    <row r="20" spans="1:22">
      <c r="A20" s="63">
        <v>1960</v>
      </c>
      <c r="B20" s="64">
        <v>54.7</v>
      </c>
      <c r="C20" s="64" t="s">
        <v>205</v>
      </c>
      <c r="D20" s="64" t="s">
        <v>205</v>
      </c>
      <c r="E20" s="63"/>
      <c r="F20" s="63"/>
      <c r="G20" s="63">
        <v>1960</v>
      </c>
      <c r="H20" s="64">
        <v>23.5</v>
      </c>
      <c r="I20" s="64" t="s">
        <v>205</v>
      </c>
      <c r="J20" s="64" t="s">
        <v>205</v>
      </c>
      <c r="K20" s="63"/>
      <c r="L20" s="63"/>
      <c r="M20" s="63">
        <v>1960</v>
      </c>
      <c r="N20" s="64">
        <v>446</v>
      </c>
      <c r="O20" s="64" t="s">
        <v>205</v>
      </c>
      <c r="P20" s="64" t="s">
        <v>205</v>
      </c>
      <c r="Q20" s="63"/>
      <c r="R20" s="63"/>
      <c r="S20" s="63">
        <v>1960</v>
      </c>
      <c r="T20" s="65">
        <v>26.1</v>
      </c>
      <c r="U20" s="65" t="s">
        <v>205</v>
      </c>
      <c r="V20" s="65" t="s">
        <v>205</v>
      </c>
    </row>
    <row r="21" spans="1:22">
      <c r="A21" s="63">
        <v>1961</v>
      </c>
      <c r="B21" s="64">
        <v>62.4</v>
      </c>
      <c r="C21" s="64" t="s">
        <v>205</v>
      </c>
      <c r="D21" s="64" t="s">
        <v>205</v>
      </c>
      <c r="E21" s="63"/>
      <c r="F21" s="63"/>
      <c r="G21" s="63">
        <v>1961</v>
      </c>
      <c r="H21" s="64">
        <v>25.1</v>
      </c>
      <c r="I21" s="64" t="s">
        <v>205</v>
      </c>
      <c r="J21" s="64" t="s">
        <v>205</v>
      </c>
      <c r="K21" s="63"/>
      <c r="L21" s="63"/>
      <c r="M21" s="63">
        <v>1961</v>
      </c>
      <c r="N21" s="64">
        <v>438</v>
      </c>
      <c r="O21" s="64" t="s">
        <v>205</v>
      </c>
      <c r="P21" s="64" t="s">
        <v>205</v>
      </c>
      <c r="Q21" s="63"/>
      <c r="R21" s="63"/>
      <c r="S21" s="63">
        <v>1961</v>
      </c>
      <c r="T21" s="65">
        <v>23.9</v>
      </c>
      <c r="U21" s="65" t="s">
        <v>205</v>
      </c>
      <c r="V21" s="65" t="s">
        <v>205</v>
      </c>
    </row>
    <row r="22" spans="1:22">
      <c r="A22" s="63">
        <v>1962</v>
      </c>
      <c r="B22" s="64">
        <v>64.7</v>
      </c>
      <c r="C22" s="64" t="s">
        <v>205</v>
      </c>
      <c r="D22" s="64" t="s">
        <v>205</v>
      </c>
      <c r="E22" s="63"/>
      <c r="F22" s="63"/>
      <c r="G22" s="63">
        <v>1962</v>
      </c>
      <c r="H22" s="64">
        <v>24.2</v>
      </c>
      <c r="I22" s="64" t="s">
        <v>205</v>
      </c>
      <c r="J22" s="64" t="s">
        <v>205</v>
      </c>
      <c r="K22" s="63"/>
      <c r="L22" s="63"/>
      <c r="M22" s="63">
        <v>1962</v>
      </c>
      <c r="N22" s="64">
        <v>457</v>
      </c>
      <c r="O22" s="64" t="s">
        <v>205</v>
      </c>
      <c r="P22" s="64" t="s">
        <v>205</v>
      </c>
      <c r="Q22" s="63"/>
      <c r="R22" s="63"/>
      <c r="S22" s="63">
        <v>1962</v>
      </c>
      <c r="T22" s="65">
        <v>25</v>
      </c>
      <c r="U22" s="65" t="s">
        <v>205</v>
      </c>
      <c r="V22" s="65" t="s">
        <v>205</v>
      </c>
    </row>
    <row r="23" spans="1:22">
      <c r="A23" s="63">
        <v>1963</v>
      </c>
      <c r="B23" s="64">
        <v>67.900000000000006</v>
      </c>
      <c r="C23" s="64" t="s">
        <v>205</v>
      </c>
      <c r="D23" s="64" t="s">
        <v>205</v>
      </c>
      <c r="E23" s="63"/>
      <c r="F23" s="63"/>
      <c r="G23" s="63">
        <v>1963</v>
      </c>
      <c r="H23" s="64">
        <v>24.4</v>
      </c>
      <c r="I23" s="64" t="s">
        <v>205</v>
      </c>
      <c r="J23" s="64" t="s">
        <v>205</v>
      </c>
      <c r="K23" s="63"/>
      <c r="L23" s="63"/>
      <c r="M23" s="63">
        <v>1963</v>
      </c>
      <c r="N23" s="64">
        <v>517</v>
      </c>
      <c r="O23" s="64" t="s">
        <v>205</v>
      </c>
      <c r="P23" s="64" t="s">
        <v>205</v>
      </c>
      <c r="Q23" s="63"/>
      <c r="R23" s="63"/>
      <c r="S23" s="63">
        <v>1963</v>
      </c>
      <c r="T23" s="65">
        <v>25.2</v>
      </c>
      <c r="U23" s="65" t="s">
        <v>205</v>
      </c>
      <c r="V23" s="65" t="s">
        <v>205</v>
      </c>
    </row>
    <row r="24" spans="1:22">
      <c r="A24" s="63">
        <v>1964</v>
      </c>
      <c r="B24" s="64">
        <v>62.9</v>
      </c>
      <c r="C24" s="64" t="s">
        <v>205</v>
      </c>
      <c r="D24" s="64" t="s">
        <v>205</v>
      </c>
      <c r="E24" s="63"/>
      <c r="F24" s="63"/>
      <c r="G24" s="63">
        <v>1964</v>
      </c>
      <c r="H24" s="64">
        <v>22.8</v>
      </c>
      <c r="I24" s="64" t="s">
        <v>205</v>
      </c>
      <c r="J24" s="64" t="s">
        <v>205</v>
      </c>
      <c r="K24" s="63"/>
      <c r="L24" s="63"/>
      <c r="M24" s="63">
        <v>1964</v>
      </c>
      <c r="N24" s="64">
        <v>517</v>
      </c>
      <c r="O24" s="64" t="s">
        <v>205</v>
      </c>
      <c r="P24" s="64" t="s">
        <v>205</v>
      </c>
      <c r="Q24" s="63"/>
      <c r="R24" s="63"/>
      <c r="S24" s="63">
        <v>1964</v>
      </c>
      <c r="T24" s="65">
        <v>25.8</v>
      </c>
      <c r="U24" s="65" t="s">
        <v>205</v>
      </c>
      <c r="V24" s="65" t="s">
        <v>205</v>
      </c>
    </row>
    <row r="25" spans="1:22">
      <c r="A25" s="63">
        <v>1965</v>
      </c>
      <c r="B25" s="64">
        <v>74.099999999999994</v>
      </c>
      <c r="C25" s="64" t="s">
        <v>205</v>
      </c>
      <c r="D25" s="64" t="s">
        <v>205</v>
      </c>
      <c r="E25" s="63"/>
      <c r="F25" s="63"/>
      <c r="G25" s="63">
        <v>1965</v>
      </c>
      <c r="H25" s="64">
        <v>24.5</v>
      </c>
      <c r="I25" s="64" t="s">
        <v>205</v>
      </c>
      <c r="J25" s="64" t="s">
        <v>205</v>
      </c>
      <c r="K25" s="63"/>
      <c r="L25" s="63"/>
      <c r="M25" s="63">
        <v>1965</v>
      </c>
      <c r="N25" s="64">
        <v>527</v>
      </c>
      <c r="O25" s="64" t="s">
        <v>205</v>
      </c>
      <c r="P25" s="64" t="s">
        <v>205</v>
      </c>
      <c r="Q25" s="63"/>
      <c r="R25" s="63"/>
      <c r="S25" s="63">
        <v>1965</v>
      </c>
      <c r="T25" s="65">
        <v>26.5</v>
      </c>
      <c r="U25" s="65" t="s">
        <v>205</v>
      </c>
      <c r="V25" s="65" t="s">
        <v>205</v>
      </c>
    </row>
    <row r="26" spans="1:22">
      <c r="A26" s="63">
        <v>1966</v>
      </c>
      <c r="B26" s="64">
        <v>73.099999999999994</v>
      </c>
      <c r="C26" s="64" t="s">
        <v>205</v>
      </c>
      <c r="D26" s="64" t="s">
        <v>205</v>
      </c>
      <c r="E26" s="63"/>
      <c r="F26" s="63"/>
      <c r="G26" s="63">
        <v>1966</v>
      </c>
      <c r="H26" s="64">
        <v>25.4</v>
      </c>
      <c r="I26" s="64" t="s">
        <v>205</v>
      </c>
      <c r="J26" s="64" t="s">
        <v>205</v>
      </c>
      <c r="K26" s="63"/>
      <c r="L26" s="63"/>
      <c r="M26" s="63">
        <v>1966</v>
      </c>
      <c r="N26" s="64">
        <v>480</v>
      </c>
      <c r="O26" s="64" t="s">
        <v>205</v>
      </c>
      <c r="P26" s="64" t="s">
        <v>205</v>
      </c>
      <c r="Q26" s="63"/>
      <c r="R26" s="63"/>
      <c r="S26" s="63">
        <v>1966</v>
      </c>
      <c r="T26" s="65">
        <v>26.3</v>
      </c>
      <c r="U26" s="65" t="s">
        <v>205</v>
      </c>
      <c r="V26" s="65" t="s">
        <v>205</v>
      </c>
    </row>
    <row r="27" spans="1:22">
      <c r="A27" s="63">
        <v>1967</v>
      </c>
      <c r="B27" s="64">
        <v>80.099999999999994</v>
      </c>
      <c r="C27" s="64" t="s">
        <v>205</v>
      </c>
      <c r="D27" s="64" t="s">
        <v>205</v>
      </c>
      <c r="E27" s="63"/>
      <c r="F27" s="63"/>
      <c r="G27" s="63">
        <v>1967</v>
      </c>
      <c r="H27" s="64">
        <v>24.5</v>
      </c>
      <c r="I27" s="64" t="s">
        <v>205</v>
      </c>
      <c r="J27" s="64" t="s">
        <v>205</v>
      </c>
      <c r="K27" s="63"/>
      <c r="L27" s="63"/>
      <c r="M27" s="63">
        <v>1967</v>
      </c>
      <c r="N27" s="64">
        <v>447</v>
      </c>
      <c r="O27" s="64" t="s">
        <v>205</v>
      </c>
      <c r="P27" s="64" t="s">
        <v>205</v>
      </c>
      <c r="Q27" s="63"/>
      <c r="R27" s="63"/>
      <c r="S27" s="63">
        <v>1967</v>
      </c>
      <c r="T27" s="65">
        <v>25.8</v>
      </c>
      <c r="U27" s="65" t="s">
        <v>205</v>
      </c>
      <c r="V27" s="65" t="s">
        <v>205</v>
      </c>
    </row>
    <row r="28" spans="1:22">
      <c r="A28" s="63">
        <v>1968</v>
      </c>
      <c r="B28" s="64">
        <v>79.5</v>
      </c>
      <c r="C28" s="64" t="s">
        <v>205</v>
      </c>
      <c r="D28" s="64" t="s">
        <v>205</v>
      </c>
      <c r="E28" s="63"/>
      <c r="F28" s="63"/>
      <c r="G28" s="63">
        <v>1968</v>
      </c>
      <c r="H28" s="64">
        <v>26.7</v>
      </c>
      <c r="I28" s="64" t="s">
        <v>205</v>
      </c>
      <c r="J28" s="64" t="s">
        <v>205</v>
      </c>
      <c r="K28" s="63"/>
      <c r="L28" s="63"/>
      <c r="M28" s="63">
        <v>1968</v>
      </c>
      <c r="N28" s="64">
        <v>516</v>
      </c>
      <c r="O28" s="64" t="s">
        <v>205</v>
      </c>
      <c r="P28" s="64" t="s">
        <v>205</v>
      </c>
      <c r="Q28" s="63"/>
      <c r="R28" s="63"/>
      <c r="S28" s="63">
        <v>1968</v>
      </c>
      <c r="T28" s="65">
        <v>28.4</v>
      </c>
      <c r="U28" s="65" t="s">
        <v>205</v>
      </c>
      <c r="V28" s="65" t="s">
        <v>205</v>
      </c>
    </row>
    <row r="29" spans="1:22">
      <c r="A29" s="63">
        <v>1969</v>
      </c>
      <c r="B29" s="64">
        <v>85.9</v>
      </c>
      <c r="C29" s="64">
        <v>7.1562401895350503</v>
      </c>
      <c r="D29" s="64">
        <v>39.184469397357603</v>
      </c>
      <c r="E29" s="63"/>
      <c r="F29" s="63"/>
      <c r="G29" s="63">
        <v>1969</v>
      </c>
      <c r="H29" s="64">
        <v>27.4</v>
      </c>
      <c r="I29" s="64">
        <v>1.9962559920105301</v>
      </c>
      <c r="J29" s="64">
        <v>8.7122320286021804</v>
      </c>
      <c r="K29" s="63"/>
      <c r="L29" s="63"/>
      <c r="M29" s="63">
        <v>1969</v>
      </c>
      <c r="N29" s="64">
        <v>434</v>
      </c>
      <c r="O29" s="64">
        <v>2.8629694459241199</v>
      </c>
      <c r="P29" s="64">
        <v>26.4030647805866</v>
      </c>
      <c r="Q29" s="63"/>
      <c r="R29" s="63"/>
      <c r="S29" s="63">
        <v>1969</v>
      </c>
      <c r="T29" s="65">
        <v>30.6</v>
      </c>
      <c r="U29" s="65">
        <v>2.5694321599473899</v>
      </c>
      <c r="V29" s="65">
        <v>13.214161650189601</v>
      </c>
    </row>
    <row r="30" spans="1:22">
      <c r="A30" s="63">
        <v>1970</v>
      </c>
      <c r="B30" s="64">
        <v>72.400000000000006</v>
      </c>
      <c r="C30" s="64" t="s">
        <v>205</v>
      </c>
      <c r="D30" s="64" t="s">
        <v>205</v>
      </c>
      <c r="E30" s="63"/>
      <c r="F30" s="63"/>
      <c r="G30" s="63">
        <v>1970</v>
      </c>
      <c r="H30" s="64">
        <v>26.7</v>
      </c>
      <c r="I30" s="64" t="s">
        <v>205</v>
      </c>
      <c r="J30" s="64" t="s">
        <v>205</v>
      </c>
      <c r="K30" s="63"/>
      <c r="L30" s="63"/>
      <c r="M30" s="63">
        <v>1970</v>
      </c>
      <c r="N30" s="64">
        <v>438</v>
      </c>
      <c r="O30" s="64" t="s">
        <v>205</v>
      </c>
      <c r="P30" s="64" t="s">
        <v>205</v>
      </c>
      <c r="Q30" s="63"/>
      <c r="R30" s="63"/>
      <c r="S30" s="63">
        <v>1970</v>
      </c>
      <c r="T30" s="65">
        <v>31</v>
      </c>
      <c r="U30" s="65" t="s">
        <v>205</v>
      </c>
      <c r="V30" s="65" t="s">
        <v>205</v>
      </c>
    </row>
    <row r="31" spans="1:22">
      <c r="A31" s="63">
        <v>1971</v>
      </c>
      <c r="B31" s="64">
        <v>88.1</v>
      </c>
      <c r="C31" s="64" t="s">
        <v>205</v>
      </c>
      <c r="D31" s="64" t="s">
        <v>205</v>
      </c>
      <c r="E31" s="63"/>
      <c r="F31" s="63"/>
      <c r="G31" s="63">
        <v>1971</v>
      </c>
      <c r="H31" s="64">
        <v>27.5</v>
      </c>
      <c r="I31" s="64" t="s">
        <v>205</v>
      </c>
      <c r="J31" s="64" t="s">
        <v>205</v>
      </c>
      <c r="K31" s="63"/>
      <c r="L31" s="63"/>
      <c r="M31" s="63">
        <v>1971</v>
      </c>
      <c r="N31" s="64">
        <v>438</v>
      </c>
      <c r="O31" s="64" t="s">
        <v>205</v>
      </c>
      <c r="P31" s="64" t="s">
        <v>205</v>
      </c>
      <c r="Q31" s="63"/>
      <c r="R31" s="63"/>
      <c r="S31" s="63">
        <v>1971</v>
      </c>
      <c r="T31" s="65">
        <v>33.9</v>
      </c>
      <c r="U31" s="65" t="s">
        <v>205</v>
      </c>
      <c r="V31" s="65" t="s">
        <v>205</v>
      </c>
    </row>
    <row r="32" spans="1:22">
      <c r="A32" s="63">
        <v>1972</v>
      </c>
      <c r="B32" s="64">
        <v>97</v>
      </c>
      <c r="C32" s="64" t="s">
        <v>205</v>
      </c>
      <c r="D32" s="64" t="s">
        <v>205</v>
      </c>
      <c r="E32" s="63"/>
      <c r="F32" s="63"/>
      <c r="G32" s="63">
        <v>1972</v>
      </c>
      <c r="H32" s="64">
        <v>27.8</v>
      </c>
      <c r="I32" s="64" t="s">
        <v>205</v>
      </c>
      <c r="J32" s="64" t="s">
        <v>205</v>
      </c>
      <c r="K32" s="63"/>
      <c r="L32" s="63"/>
      <c r="M32" s="63">
        <v>1972</v>
      </c>
      <c r="N32" s="64">
        <v>507</v>
      </c>
      <c r="O32" s="64" t="s">
        <v>205</v>
      </c>
      <c r="P32" s="64" t="s">
        <v>205</v>
      </c>
      <c r="Q32" s="63"/>
      <c r="R32" s="63"/>
      <c r="S32" s="63">
        <v>1972</v>
      </c>
      <c r="T32" s="65">
        <v>32.700000000000003</v>
      </c>
      <c r="U32" s="65" t="s">
        <v>205</v>
      </c>
      <c r="V32" s="65" t="s">
        <v>205</v>
      </c>
    </row>
    <row r="33" spans="1:22">
      <c r="A33" s="63">
        <v>1973</v>
      </c>
      <c r="B33" s="64">
        <v>91.3</v>
      </c>
      <c r="C33" s="64" t="s">
        <v>205</v>
      </c>
      <c r="D33" s="64" t="s">
        <v>205</v>
      </c>
      <c r="E33" s="63"/>
      <c r="F33" s="63"/>
      <c r="G33" s="63">
        <v>1973</v>
      </c>
      <c r="H33" s="64">
        <v>27.8</v>
      </c>
      <c r="I33" s="64" t="s">
        <v>205</v>
      </c>
      <c r="J33" s="64" t="s">
        <v>205</v>
      </c>
      <c r="K33" s="63"/>
      <c r="L33" s="63"/>
      <c r="M33" s="63">
        <v>1973</v>
      </c>
      <c r="N33" s="64">
        <v>520</v>
      </c>
      <c r="O33" s="64" t="s">
        <v>205</v>
      </c>
      <c r="P33" s="64" t="s">
        <v>205</v>
      </c>
      <c r="Q33" s="63"/>
      <c r="R33" s="63"/>
      <c r="S33" s="63">
        <v>1973</v>
      </c>
      <c r="T33" s="65">
        <v>31.6</v>
      </c>
      <c r="U33" s="65" t="s">
        <v>205</v>
      </c>
      <c r="V33" s="65" t="s">
        <v>205</v>
      </c>
    </row>
    <row r="34" spans="1:22">
      <c r="A34" s="63">
        <v>1974</v>
      </c>
      <c r="B34" s="64">
        <v>71.900000000000006</v>
      </c>
      <c r="C34" s="64" t="s">
        <v>205</v>
      </c>
      <c r="D34" s="64" t="s">
        <v>205</v>
      </c>
      <c r="E34" s="63"/>
      <c r="F34" s="63"/>
      <c r="G34" s="63">
        <v>1974</v>
      </c>
      <c r="H34" s="64">
        <v>23.7</v>
      </c>
      <c r="I34" s="64" t="s">
        <v>205</v>
      </c>
      <c r="J34" s="64" t="s">
        <v>205</v>
      </c>
      <c r="K34" s="63"/>
      <c r="L34" s="63"/>
      <c r="M34" s="63">
        <v>1974</v>
      </c>
      <c r="N34" s="64">
        <v>442</v>
      </c>
      <c r="O34" s="64" t="s">
        <v>205</v>
      </c>
      <c r="P34" s="64" t="s">
        <v>205</v>
      </c>
      <c r="Q34" s="63"/>
      <c r="R34" s="63"/>
      <c r="S34" s="63">
        <v>1974</v>
      </c>
      <c r="T34" s="65">
        <v>27.3</v>
      </c>
      <c r="U34" s="65" t="s">
        <v>205</v>
      </c>
      <c r="V34" s="65" t="s">
        <v>205</v>
      </c>
    </row>
    <row r="35" spans="1:22">
      <c r="A35" s="63">
        <v>1975</v>
      </c>
      <c r="B35" s="64">
        <v>86.4</v>
      </c>
      <c r="C35" s="64" t="s">
        <v>205</v>
      </c>
      <c r="D35" s="64" t="s">
        <v>205</v>
      </c>
      <c r="E35" s="63"/>
      <c r="F35" s="63"/>
      <c r="G35" s="63">
        <v>1975</v>
      </c>
      <c r="H35" s="64">
        <v>28.9</v>
      </c>
      <c r="I35" s="64" t="s">
        <v>205</v>
      </c>
      <c r="J35" s="64" t="s">
        <v>205</v>
      </c>
      <c r="K35" s="63"/>
      <c r="L35" s="63"/>
      <c r="M35" s="63">
        <v>1975</v>
      </c>
      <c r="N35" s="64">
        <v>453</v>
      </c>
      <c r="O35" s="64" t="s">
        <v>205</v>
      </c>
      <c r="P35" s="64" t="s">
        <v>205</v>
      </c>
      <c r="Q35" s="63"/>
      <c r="R35" s="63"/>
      <c r="S35" s="63">
        <v>1975</v>
      </c>
      <c r="T35" s="65">
        <v>30.6</v>
      </c>
      <c r="U35" s="65" t="s">
        <v>205</v>
      </c>
      <c r="V35" s="65" t="s">
        <v>205</v>
      </c>
    </row>
    <row r="36" spans="1:22">
      <c r="A36" s="63">
        <v>1976</v>
      </c>
      <c r="B36" s="64">
        <v>88</v>
      </c>
      <c r="C36" s="64" t="s">
        <v>205</v>
      </c>
      <c r="D36" s="64" t="s">
        <v>205</v>
      </c>
      <c r="E36" s="63"/>
      <c r="F36" s="63"/>
      <c r="G36" s="63">
        <v>1976</v>
      </c>
      <c r="H36" s="64">
        <v>26.1</v>
      </c>
      <c r="I36" s="64" t="s">
        <v>205</v>
      </c>
      <c r="J36" s="64" t="s">
        <v>205</v>
      </c>
      <c r="K36" s="63"/>
      <c r="L36" s="63"/>
      <c r="M36" s="63">
        <v>1976</v>
      </c>
      <c r="N36" s="64">
        <v>465</v>
      </c>
      <c r="O36" s="64" t="s">
        <v>205</v>
      </c>
      <c r="P36" s="64" t="s">
        <v>205</v>
      </c>
      <c r="Q36" s="63"/>
      <c r="R36" s="63"/>
      <c r="S36" s="63">
        <v>1976</v>
      </c>
      <c r="T36" s="65">
        <v>30.3</v>
      </c>
      <c r="U36" s="65" t="s">
        <v>205</v>
      </c>
      <c r="V36" s="65" t="s">
        <v>205</v>
      </c>
    </row>
    <row r="37" spans="1:22">
      <c r="A37" s="63">
        <v>1977</v>
      </c>
      <c r="B37" s="64">
        <v>90.8</v>
      </c>
      <c r="C37" s="64" t="s">
        <v>205</v>
      </c>
      <c r="D37" s="64" t="s">
        <v>205</v>
      </c>
      <c r="E37" s="63"/>
      <c r="F37" s="63"/>
      <c r="G37" s="63">
        <v>1977</v>
      </c>
      <c r="H37" s="64">
        <v>30.6</v>
      </c>
      <c r="I37" s="64" t="s">
        <v>205</v>
      </c>
      <c r="J37" s="64" t="s">
        <v>205</v>
      </c>
      <c r="K37" s="63"/>
      <c r="L37" s="63"/>
      <c r="M37" s="63">
        <v>1977</v>
      </c>
      <c r="N37" s="64">
        <v>520</v>
      </c>
      <c r="O37" s="64" t="s">
        <v>205</v>
      </c>
      <c r="P37" s="64" t="s">
        <v>205</v>
      </c>
      <c r="Q37" s="63"/>
      <c r="R37" s="63"/>
      <c r="S37" s="63">
        <v>1977</v>
      </c>
      <c r="T37" s="65">
        <v>30.7</v>
      </c>
      <c r="U37" s="65" t="s">
        <v>205</v>
      </c>
      <c r="V37" s="65" t="s">
        <v>205</v>
      </c>
    </row>
    <row r="38" spans="1:22">
      <c r="A38" s="63">
        <v>1978</v>
      </c>
      <c r="B38" s="64">
        <v>101</v>
      </c>
      <c r="C38" s="64" t="s">
        <v>205</v>
      </c>
      <c r="D38" s="64" t="s">
        <v>205</v>
      </c>
      <c r="E38" s="63"/>
      <c r="F38" s="63"/>
      <c r="G38" s="63">
        <v>1978</v>
      </c>
      <c r="H38" s="64">
        <v>29.4</v>
      </c>
      <c r="I38" s="64" t="s">
        <v>205</v>
      </c>
      <c r="J38" s="64" t="s">
        <v>205</v>
      </c>
      <c r="K38" s="63"/>
      <c r="L38" s="63"/>
      <c r="M38" s="63">
        <v>1978</v>
      </c>
      <c r="N38" s="64">
        <v>420</v>
      </c>
      <c r="O38" s="64" t="s">
        <v>205</v>
      </c>
      <c r="P38" s="64" t="s">
        <v>205</v>
      </c>
      <c r="Q38" s="63"/>
      <c r="R38" s="63"/>
      <c r="S38" s="63">
        <v>1978</v>
      </c>
      <c r="T38" s="65">
        <v>31.4</v>
      </c>
      <c r="U38" s="65" t="s">
        <v>205</v>
      </c>
      <c r="V38" s="65" t="s">
        <v>205</v>
      </c>
    </row>
    <row r="39" spans="1:22">
      <c r="A39" s="63">
        <v>1979</v>
      </c>
      <c r="B39" s="64">
        <v>109.5</v>
      </c>
      <c r="C39" s="64" t="s">
        <v>205</v>
      </c>
      <c r="D39" s="64" t="s">
        <v>205</v>
      </c>
      <c r="E39" s="63"/>
      <c r="F39" s="63"/>
      <c r="G39" s="63">
        <v>1979</v>
      </c>
      <c r="H39" s="64">
        <v>32.1</v>
      </c>
      <c r="I39" s="64" t="s">
        <v>205</v>
      </c>
      <c r="J39" s="64" t="s">
        <v>205</v>
      </c>
      <c r="K39" s="63"/>
      <c r="L39" s="63"/>
      <c r="M39" s="63">
        <v>1979</v>
      </c>
      <c r="N39" s="64">
        <v>547</v>
      </c>
      <c r="O39" s="64" t="s">
        <v>205</v>
      </c>
      <c r="P39" s="64" t="s">
        <v>205</v>
      </c>
      <c r="Q39" s="63"/>
      <c r="R39" s="63"/>
      <c r="S39" s="63">
        <v>1979</v>
      </c>
      <c r="T39" s="65">
        <v>34.200000000000003</v>
      </c>
      <c r="U39" s="65" t="s">
        <v>205</v>
      </c>
      <c r="V39" s="65" t="s">
        <v>205</v>
      </c>
    </row>
    <row r="40" spans="1:22">
      <c r="A40" s="63">
        <v>1980</v>
      </c>
      <c r="B40" s="64">
        <v>91</v>
      </c>
      <c r="C40" s="64" t="s">
        <v>205</v>
      </c>
      <c r="D40" s="64" t="s">
        <v>205</v>
      </c>
      <c r="E40" s="63"/>
      <c r="F40" s="63"/>
      <c r="G40" s="63">
        <v>1980</v>
      </c>
      <c r="H40" s="64">
        <v>26.5</v>
      </c>
      <c r="I40" s="64" t="s">
        <v>205</v>
      </c>
      <c r="J40" s="64" t="s">
        <v>205</v>
      </c>
      <c r="K40" s="63"/>
      <c r="L40" s="63"/>
      <c r="M40" s="63">
        <v>1980</v>
      </c>
      <c r="N40" s="64">
        <v>404</v>
      </c>
      <c r="O40" s="64" t="s">
        <v>205</v>
      </c>
      <c r="P40" s="64" t="s">
        <v>205</v>
      </c>
      <c r="Q40" s="63"/>
      <c r="R40" s="63"/>
      <c r="S40" s="63">
        <v>1980</v>
      </c>
      <c r="T40" s="65">
        <v>33.5</v>
      </c>
      <c r="U40" s="65" t="s">
        <v>205</v>
      </c>
      <c r="V40" s="65" t="s">
        <v>205</v>
      </c>
    </row>
    <row r="41" spans="1:22">
      <c r="A41" s="63">
        <v>1981</v>
      </c>
      <c r="B41" s="64">
        <v>108.9</v>
      </c>
      <c r="C41" s="64" t="s">
        <v>205</v>
      </c>
      <c r="D41" s="64" t="s">
        <v>205</v>
      </c>
      <c r="E41" s="63"/>
      <c r="F41" s="63"/>
      <c r="G41" s="63">
        <v>1981</v>
      </c>
      <c r="H41" s="64">
        <v>30.1</v>
      </c>
      <c r="I41" s="64" t="s">
        <v>205</v>
      </c>
      <c r="J41" s="64" t="s">
        <v>205</v>
      </c>
      <c r="K41" s="63"/>
      <c r="L41" s="63"/>
      <c r="M41" s="63">
        <v>1981</v>
      </c>
      <c r="N41" s="64">
        <v>542</v>
      </c>
      <c r="O41" s="64" t="s">
        <v>205</v>
      </c>
      <c r="P41" s="64" t="s">
        <v>205</v>
      </c>
      <c r="Q41" s="63"/>
      <c r="R41" s="63"/>
      <c r="S41" s="63">
        <v>1981</v>
      </c>
      <c r="T41" s="65">
        <v>34.5</v>
      </c>
      <c r="U41" s="65" t="s">
        <v>205</v>
      </c>
      <c r="V41" s="65" t="s">
        <v>205</v>
      </c>
    </row>
    <row r="42" spans="1:22">
      <c r="A42" s="63">
        <v>1982</v>
      </c>
      <c r="B42" s="64">
        <v>113.2</v>
      </c>
      <c r="C42" s="64" t="s">
        <v>205</v>
      </c>
      <c r="D42" s="64" t="s">
        <v>205</v>
      </c>
      <c r="E42" s="63"/>
      <c r="F42" s="63"/>
      <c r="G42" s="63">
        <v>1982</v>
      </c>
      <c r="H42" s="64">
        <v>31.5</v>
      </c>
      <c r="I42" s="64" t="s">
        <v>205</v>
      </c>
      <c r="J42" s="64" t="s">
        <v>205</v>
      </c>
      <c r="K42" s="63"/>
      <c r="L42" s="63"/>
      <c r="M42" s="63">
        <v>1982</v>
      </c>
      <c r="N42" s="64">
        <v>590</v>
      </c>
      <c r="O42" s="64" t="s">
        <v>205</v>
      </c>
      <c r="P42" s="64" t="s">
        <v>205</v>
      </c>
      <c r="Q42" s="63"/>
      <c r="R42" s="63"/>
      <c r="S42" s="63">
        <v>1982</v>
      </c>
      <c r="T42" s="65">
        <v>35.5</v>
      </c>
      <c r="U42" s="65" t="s">
        <v>205</v>
      </c>
      <c r="V42" s="65" t="s">
        <v>205</v>
      </c>
    </row>
    <row r="43" spans="1:22">
      <c r="A43" s="63">
        <v>1983</v>
      </c>
      <c r="B43" s="64">
        <v>81.099999999999994</v>
      </c>
      <c r="C43" s="64" t="s">
        <v>205</v>
      </c>
      <c r="D43" s="64" t="s">
        <v>205</v>
      </c>
      <c r="E43" s="63"/>
      <c r="F43" s="63"/>
      <c r="G43" s="63">
        <v>1983</v>
      </c>
      <c r="H43" s="64">
        <v>26.2</v>
      </c>
      <c r="I43" s="64" t="s">
        <v>205</v>
      </c>
      <c r="J43" s="64" t="s">
        <v>205</v>
      </c>
      <c r="K43" s="63"/>
      <c r="L43" s="63"/>
      <c r="M43" s="63">
        <v>1983</v>
      </c>
      <c r="N43" s="64">
        <v>508</v>
      </c>
      <c r="O43" s="64" t="s">
        <v>205</v>
      </c>
      <c r="P43" s="64" t="s">
        <v>205</v>
      </c>
      <c r="Q43" s="63"/>
      <c r="R43" s="63"/>
      <c r="S43" s="63">
        <v>1983</v>
      </c>
      <c r="T43" s="65">
        <v>39.4</v>
      </c>
      <c r="U43" s="65" t="s">
        <v>205</v>
      </c>
      <c r="V43" s="65" t="s">
        <v>205</v>
      </c>
    </row>
    <row r="44" spans="1:22">
      <c r="A44" s="63">
        <v>1984</v>
      </c>
      <c r="B44" s="64">
        <v>106.7</v>
      </c>
      <c r="C44" s="64">
        <v>65.120726905774703</v>
      </c>
      <c r="D44" s="64">
        <v>196.836151394463</v>
      </c>
      <c r="E44" s="63"/>
      <c r="F44" s="63"/>
      <c r="G44" s="63">
        <v>1984</v>
      </c>
      <c r="H44" s="64">
        <v>28.1</v>
      </c>
      <c r="I44" s="64">
        <v>25.267737858739199</v>
      </c>
      <c r="J44" s="64">
        <v>85.230660476429406</v>
      </c>
      <c r="K44" s="63"/>
      <c r="L44" s="63"/>
      <c r="M44" s="63">
        <v>1984</v>
      </c>
      <c r="N44" s="64">
        <v>600</v>
      </c>
      <c r="O44" s="64">
        <v>10.4857886547488</v>
      </c>
      <c r="P44" s="64">
        <v>70.537193754467594</v>
      </c>
      <c r="Q44" s="63"/>
      <c r="R44" s="63"/>
      <c r="S44" s="63">
        <v>1984</v>
      </c>
      <c r="T44" s="65">
        <v>38.799999999999997</v>
      </c>
      <c r="U44" s="65">
        <v>20.408269727209198</v>
      </c>
      <c r="V44" s="65">
        <v>66.895047582881304</v>
      </c>
    </row>
    <row r="45" spans="1:22">
      <c r="A45" s="63">
        <v>1985</v>
      </c>
      <c r="B45" s="64">
        <v>118</v>
      </c>
      <c r="C45" s="64" t="s">
        <v>205</v>
      </c>
      <c r="D45" s="64" t="s">
        <v>205</v>
      </c>
      <c r="E45" s="63"/>
      <c r="F45" s="63"/>
      <c r="G45" s="63">
        <v>1985</v>
      </c>
      <c r="H45" s="64">
        <v>34.1</v>
      </c>
      <c r="I45" s="64" t="s">
        <v>205</v>
      </c>
      <c r="J45" s="64" t="s">
        <v>205</v>
      </c>
      <c r="K45" s="63"/>
      <c r="L45" s="63"/>
      <c r="M45" s="63">
        <v>1985</v>
      </c>
      <c r="N45" s="64">
        <v>630</v>
      </c>
      <c r="O45" s="64" t="s">
        <v>205</v>
      </c>
      <c r="P45" s="64" t="s">
        <v>205</v>
      </c>
      <c r="Q45" s="63"/>
      <c r="R45" s="63"/>
      <c r="S45" s="63">
        <v>1985</v>
      </c>
      <c r="T45" s="65">
        <v>37.5</v>
      </c>
      <c r="U45" s="65" t="s">
        <v>205</v>
      </c>
      <c r="V45" s="65" t="s">
        <v>205</v>
      </c>
    </row>
    <row r="46" spans="1:22">
      <c r="A46" s="63">
        <v>1986</v>
      </c>
      <c r="B46" s="64">
        <v>119.4</v>
      </c>
      <c r="C46" s="64" t="s">
        <v>205</v>
      </c>
      <c r="D46" s="64" t="s">
        <v>205</v>
      </c>
      <c r="E46" s="63"/>
      <c r="F46" s="63"/>
      <c r="G46" s="63">
        <v>1986</v>
      </c>
      <c r="H46" s="64">
        <v>33.299999999999997</v>
      </c>
      <c r="I46" s="64" t="s">
        <v>205</v>
      </c>
      <c r="J46" s="64" t="s">
        <v>205</v>
      </c>
      <c r="K46" s="63"/>
      <c r="L46" s="63"/>
      <c r="M46" s="63">
        <v>1986</v>
      </c>
      <c r="N46" s="64">
        <v>552</v>
      </c>
      <c r="O46" s="64" t="s">
        <v>205</v>
      </c>
      <c r="P46" s="64" t="s">
        <v>205</v>
      </c>
      <c r="Q46" s="63"/>
      <c r="R46" s="63"/>
      <c r="S46" s="63">
        <v>1986</v>
      </c>
      <c r="T46" s="65">
        <v>34.4</v>
      </c>
      <c r="U46" s="65" t="s">
        <v>205</v>
      </c>
      <c r="V46" s="65" t="s">
        <v>205</v>
      </c>
    </row>
    <row r="47" spans="1:22">
      <c r="A47" s="63">
        <v>1987</v>
      </c>
      <c r="B47" s="64">
        <v>119.8</v>
      </c>
      <c r="C47" s="64" t="s">
        <v>205</v>
      </c>
      <c r="D47" s="64" t="s">
        <v>205</v>
      </c>
      <c r="E47" s="63"/>
      <c r="F47" s="63"/>
      <c r="G47" s="63">
        <v>1987</v>
      </c>
      <c r="H47" s="64">
        <v>33.9</v>
      </c>
      <c r="I47" s="64" t="s">
        <v>205</v>
      </c>
      <c r="J47" s="64" t="s">
        <v>205</v>
      </c>
      <c r="K47" s="63"/>
      <c r="L47" s="63"/>
      <c r="M47" s="63">
        <v>1987</v>
      </c>
      <c r="N47" s="64">
        <v>706</v>
      </c>
      <c r="O47" s="64" t="s">
        <v>205</v>
      </c>
      <c r="P47" s="64" t="s">
        <v>205</v>
      </c>
      <c r="Q47" s="63"/>
      <c r="R47" s="63"/>
      <c r="S47" s="63">
        <v>1987</v>
      </c>
      <c r="T47" s="65">
        <v>37.700000000000003</v>
      </c>
      <c r="U47" s="65" t="s">
        <v>205</v>
      </c>
      <c r="V47" s="65" t="s">
        <v>205</v>
      </c>
    </row>
    <row r="48" spans="1:22">
      <c r="A48" s="63">
        <v>1988</v>
      </c>
      <c r="B48" s="64">
        <v>84.6</v>
      </c>
      <c r="C48" s="64" t="s">
        <v>205</v>
      </c>
      <c r="D48" s="64" t="s">
        <v>205</v>
      </c>
      <c r="E48" s="63"/>
      <c r="F48" s="63"/>
      <c r="G48" s="63">
        <v>1988</v>
      </c>
      <c r="H48" s="64">
        <v>27</v>
      </c>
      <c r="I48" s="64" t="s">
        <v>205</v>
      </c>
      <c r="J48" s="64" t="s">
        <v>205</v>
      </c>
      <c r="K48" s="63"/>
      <c r="L48" s="63"/>
      <c r="M48" s="63">
        <v>1988</v>
      </c>
      <c r="N48" s="64">
        <v>619</v>
      </c>
      <c r="O48" s="64" t="s">
        <v>205</v>
      </c>
      <c r="P48" s="64" t="s">
        <v>205</v>
      </c>
      <c r="Q48" s="63"/>
      <c r="R48" s="63"/>
      <c r="S48" s="63">
        <v>1988</v>
      </c>
      <c r="T48" s="65">
        <v>34.1</v>
      </c>
      <c r="U48" s="65" t="s">
        <v>205</v>
      </c>
      <c r="V48" s="65" t="s">
        <v>205</v>
      </c>
    </row>
    <row r="49" spans="1:22">
      <c r="A49" s="63">
        <v>1989</v>
      </c>
      <c r="B49" s="64">
        <v>116.3</v>
      </c>
      <c r="C49" s="64" t="s">
        <v>205</v>
      </c>
      <c r="D49" s="64" t="s">
        <v>205</v>
      </c>
      <c r="E49" s="63"/>
      <c r="F49" s="63"/>
      <c r="G49" s="63">
        <v>1989</v>
      </c>
      <c r="H49" s="64">
        <v>32.299999999999997</v>
      </c>
      <c r="I49" s="64" t="s">
        <v>205</v>
      </c>
      <c r="J49" s="64" t="s">
        <v>205</v>
      </c>
      <c r="K49" s="63"/>
      <c r="L49" s="63"/>
      <c r="M49" s="63">
        <v>1989</v>
      </c>
      <c r="N49" s="64">
        <v>614</v>
      </c>
      <c r="O49" s="64" t="s">
        <v>205</v>
      </c>
      <c r="P49" s="64" t="s">
        <v>205</v>
      </c>
      <c r="Q49" s="63"/>
      <c r="R49" s="63"/>
      <c r="S49" s="63">
        <v>1989</v>
      </c>
      <c r="T49" s="65">
        <v>32.700000000000003</v>
      </c>
      <c r="U49" s="65" t="s">
        <v>205</v>
      </c>
      <c r="V49" s="65" t="s">
        <v>205</v>
      </c>
    </row>
    <row r="50" spans="1:22">
      <c r="A50" s="63">
        <v>1990</v>
      </c>
      <c r="B50" s="64">
        <v>118.5</v>
      </c>
      <c r="C50" s="64" t="s">
        <v>205</v>
      </c>
      <c r="D50" s="64" t="s">
        <v>205</v>
      </c>
      <c r="E50" s="63"/>
      <c r="F50" s="63"/>
      <c r="G50" s="63">
        <v>1990</v>
      </c>
      <c r="H50" s="64">
        <v>34.1</v>
      </c>
      <c r="I50" s="64" t="s">
        <v>205</v>
      </c>
      <c r="J50" s="64" t="s">
        <v>205</v>
      </c>
      <c r="K50" s="63"/>
      <c r="L50" s="63"/>
      <c r="M50" s="63">
        <v>1990</v>
      </c>
      <c r="N50" s="64">
        <v>634</v>
      </c>
      <c r="O50" s="64" t="s">
        <v>205</v>
      </c>
      <c r="P50" s="64" t="s">
        <v>205</v>
      </c>
      <c r="Q50" s="63"/>
      <c r="R50" s="63"/>
      <c r="S50" s="63">
        <v>1990</v>
      </c>
      <c r="T50" s="65">
        <v>39.5</v>
      </c>
      <c r="U50" s="65" t="s">
        <v>205</v>
      </c>
      <c r="V50" s="65" t="s">
        <v>205</v>
      </c>
    </row>
    <row r="51" spans="1:22">
      <c r="A51" s="63">
        <v>1991</v>
      </c>
      <c r="B51" s="64">
        <v>108.6</v>
      </c>
      <c r="C51" s="64" t="s">
        <v>205</v>
      </c>
      <c r="D51" s="64" t="s">
        <v>205</v>
      </c>
      <c r="E51" s="63"/>
      <c r="F51" s="63"/>
      <c r="G51" s="63">
        <v>1991</v>
      </c>
      <c r="H51" s="64">
        <v>34.200000000000003</v>
      </c>
      <c r="I51" s="64" t="s">
        <v>205</v>
      </c>
      <c r="J51" s="64" t="s">
        <v>205</v>
      </c>
      <c r="K51" s="63"/>
      <c r="L51" s="63"/>
      <c r="M51" s="63">
        <v>1991</v>
      </c>
      <c r="N51" s="64">
        <v>652</v>
      </c>
      <c r="O51" s="64" t="s">
        <v>205</v>
      </c>
      <c r="P51" s="64" t="s">
        <v>205</v>
      </c>
      <c r="Q51" s="63"/>
      <c r="R51" s="63"/>
      <c r="S51" s="63">
        <v>1991</v>
      </c>
      <c r="T51" s="65">
        <v>34.299999999999997</v>
      </c>
      <c r="U51" s="65" t="s">
        <v>205</v>
      </c>
      <c r="V51" s="65" t="s">
        <v>205</v>
      </c>
    </row>
    <row r="52" spans="1:22">
      <c r="A52" s="63">
        <v>1992</v>
      </c>
      <c r="B52" s="64">
        <v>131.5</v>
      </c>
      <c r="C52" s="64" t="s">
        <v>205</v>
      </c>
      <c r="D52" s="64" t="s">
        <v>205</v>
      </c>
      <c r="E52" s="63"/>
      <c r="F52" s="63"/>
      <c r="G52" s="63">
        <v>1992</v>
      </c>
      <c r="H52" s="64">
        <v>37.6</v>
      </c>
      <c r="I52" s="64" t="s">
        <v>205</v>
      </c>
      <c r="J52" s="64" t="s">
        <v>205</v>
      </c>
      <c r="K52" s="63"/>
      <c r="L52" s="63"/>
      <c r="M52" s="63">
        <v>1992</v>
      </c>
      <c r="N52" s="64">
        <v>700</v>
      </c>
      <c r="O52" s="64" t="s">
        <v>205</v>
      </c>
      <c r="P52" s="64" t="s">
        <v>205</v>
      </c>
      <c r="Q52" s="63"/>
      <c r="R52" s="63"/>
      <c r="S52" s="63">
        <v>1992</v>
      </c>
      <c r="T52" s="65">
        <v>39.299999999999997</v>
      </c>
      <c r="U52" s="65" t="s">
        <v>205</v>
      </c>
      <c r="V52" s="65" t="s">
        <v>205</v>
      </c>
    </row>
    <row r="53" spans="1:22">
      <c r="A53" s="63">
        <v>1993</v>
      </c>
      <c r="B53" s="64">
        <v>100.7</v>
      </c>
      <c r="C53" s="64" t="s">
        <v>205</v>
      </c>
      <c r="D53" s="64" t="s">
        <v>205</v>
      </c>
      <c r="E53" s="63"/>
      <c r="F53" s="63"/>
      <c r="G53" s="63">
        <v>1993</v>
      </c>
      <c r="H53" s="64">
        <v>32.6</v>
      </c>
      <c r="I53" s="64" t="s">
        <v>205</v>
      </c>
      <c r="J53" s="64" t="s">
        <v>205</v>
      </c>
      <c r="K53" s="63"/>
      <c r="L53" s="63"/>
      <c r="M53" s="63">
        <v>1993</v>
      </c>
      <c r="N53" s="64">
        <v>606</v>
      </c>
      <c r="O53" s="64" t="s">
        <v>205</v>
      </c>
      <c r="P53" s="64" t="s">
        <v>205</v>
      </c>
      <c r="Q53" s="63"/>
      <c r="R53" s="63"/>
      <c r="S53" s="63">
        <v>1993</v>
      </c>
      <c r="T53" s="65">
        <v>38.200000000000003</v>
      </c>
      <c r="U53" s="65" t="s">
        <v>205</v>
      </c>
      <c r="V53" s="65" t="s">
        <v>205</v>
      </c>
    </row>
    <row r="54" spans="1:22">
      <c r="A54" s="63">
        <v>1994</v>
      </c>
      <c r="B54" s="64">
        <v>138.6</v>
      </c>
      <c r="C54" s="64">
        <v>182.99668231093099</v>
      </c>
      <c r="D54" s="64">
        <v>367.56047598296198</v>
      </c>
      <c r="E54" s="63"/>
      <c r="F54" s="63"/>
      <c r="G54" s="63">
        <v>1994</v>
      </c>
      <c r="H54" s="64">
        <v>41.4</v>
      </c>
      <c r="I54" s="64">
        <v>64.128928106367994</v>
      </c>
      <c r="J54" s="64">
        <v>134.53569566443699</v>
      </c>
      <c r="K54" s="63"/>
      <c r="L54" s="63"/>
      <c r="M54" s="63">
        <v>1994</v>
      </c>
      <c r="N54" s="64">
        <v>708</v>
      </c>
      <c r="O54" s="64">
        <v>45.919764741081401</v>
      </c>
      <c r="P54" s="64">
        <v>152.614477668088</v>
      </c>
      <c r="Q54" s="63"/>
      <c r="R54" s="63"/>
      <c r="S54" s="63">
        <v>1994</v>
      </c>
      <c r="T54" s="65">
        <v>37.6</v>
      </c>
      <c r="U54" s="65">
        <v>49.473630760762603</v>
      </c>
      <c r="V54" s="65">
        <v>105.181863044488</v>
      </c>
    </row>
    <row r="55" spans="1:22">
      <c r="A55" s="63">
        <v>1995</v>
      </c>
      <c r="B55" s="64">
        <v>113.5</v>
      </c>
      <c r="C55" s="64">
        <v>217.62231796108901</v>
      </c>
      <c r="D55" s="64">
        <v>419.268860322693</v>
      </c>
      <c r="E55" s="63"/>
      <c r="F55" s="63"/>
      <c r="G55" s="63">
        <v>1995</v>
      </c>
      <c r="H55" s="64">
        <v>35.299999999999997</v>
      </c>
      <c r="I55" s="64">
        <v>72.707484748824399</v>
      </c>
      <c r="J55" s="64">
        <v>143.49140454290799</v>
      </c>
      <c r="K55" s="63"/>
      <c r="L55" s="63"/>
      <c r="M55" s="63">
        <v>1995</v>
      </c>
      <c r="N55" s="64">
        <v>537</v>
      </c>
      <c r="O55" s="64">
        <v>52.682421109355801</v>
      </c>
      <c r="P55" s="64">
        <v>151.85442898969001</v>
      </c>
      <c r="Q55" s="63"/>
      <c r="R55" s="63"/>
      <c r="S55" s="63">
        <v>1995</v>
      </c>
      <c r="T55" s="65">
        <v>35.799999999999997</v>
      </c>
      <c r="U55" s="65">
        <v>51.645135769797399</v>
      </c>
      <c r="V55" s="65">
        <v>111.617134803928</v>
      </c>
    </row>
    <row r="56" spans="1:22">
      <c r="A56" s="63">
        <v>1996</v>
      </c>
      <c r="B56" s="64">
        <v>127.1</v>
      </c>
      <c r="C56" s="64">
        <v>276.53750877436801</v>
      </c>
      <c r="D56" s="64">
        <v>492.85019308150999</v>
      </c>
      <c r="E56" s="63"/>
      <c r="F56" s="63"/>
      <c r="G56" s="63">
        <v>1996</v>
      </c>
      <c r="H56" s="64">
        <v>37.6</v>
      </c>
      <c r="I56" s="64">
        <v>86.195054185247599</v>
      </c>
      <c r="J56" s="64">
        <v>160.74652099084301</v>
      </c>
      <c r="K56" s="63"/>
      <c r="L56" s="63"/>
      <c r="M56" s="63">
        <v>1996</v>
      </c>
      <c r="N56" s="64">
        <v>705</v>
      </c>
      <c r="O56" s="64">
        <v>64.0297251473893</v>
      </c>
      <c r="P56" s="64">
        <v>167.687292459693</v>
      </c>
      <c r="Q56" s="63"/>
      <c r="R56" s="63"/>
      <c r="S56" s="63">
        <v>1996</v>
      </c>
      <c r="T56" s="65">
        <v>36.299999999999997</v>
      </c>
      <c r="U56" s="65">
        <v>55.021838509345201</v>
      </c>
      <c r="V56" s="65">
        <v>114.62490527824799</v>
      </c>
    </row>
    <row r="57" spans="1:22">
      <c r="A57" s="63">
        <v>1997</v>
      </c>
      <c r="B57" s="64">
        <v>126.7</v>
      </c>
      <c r="C57" s="64">
        <v>346.32994285412002</v>
      </c>
      <c r="D57" s="64">
        <v>583.09580746363201</v>
      </c>
      <c r="E57" s="63"/>
      <c r="F57" s="63"/>
      <c r="G57" s="63">
        <v>1997</v>
      </c>
      <c r="H57" s="64">
        <v>38.9</v>
      </c>
      <c r="I57" s="64">
        <v>104.00739475979</v>
      </c>
      <c r="J57" s="64">
        <v>185.060563359002</v>
      </c>
      <c r="K57" s="63"/>
      <c r="L57" s="63"/>
      <c r="M57" s="63">
        <v>1997</v>
      </c>
      <c r="N57" s="64">
        <v>673</v>
      </c>
      <c r="O57" s="64">
        <v>75.845256934703201</v>
      </c>
      <c r="P57" s="64">
        <v>187.336545817059</v>
      </c>
      <c r="Q57" s="63"/>
      <c r="R57" s="63"/>
      <c r="S57" s="63">
        <v>1997</v>
      </c>
      <c r="T57" s="65">
        <v>39.5</v>
      </c>
      <c r="U57" s="65">
        <v>59.329367668172601</v>
      </c>
      <c r="V57" s="65">
        <v>122.933996010751</v>
      </c>
    </row>
    <row r="58" spans="1:22">
      <c r="A58" s="63">
        <v>1998</v>
      </c>
      <c r="B58" s="64">
        <v>134.4</v>
      </c>
      <c r="C58" s="64">
        <v>435.90386360800898</v>
      </c>
      <c r="D58" s="64">
        <v>656.04271084233199</v>
      </c>
      <c r="E58" s="63"/>
      <c r="F58" s="63"/>
      <c r="G58" s="63">
        <v>1998</v>
      </c>
      <c r="H58" s="64">
        <v>38.9</v>
      </c>
      <c r="I58" s="64">
        <v>125.833002119624</v>
      </c>
      <c r="J58" s="64">
        <v>196.28558254205899</v>
      </c>
      <c r="K58" s="63"/>
      <c r="L58" s="63"/>
      <c r="M58" s="63">
        <v>1998</v>
      </c>
      <c r="N58" s="64">
        <v>625</v>
      </c>
      <c r="O58" s="64">
        <v>91.446606338524504</v>
      </c>
      <c r="P58" s="64">
        <v>185.845044214278</v>
      </c>
      <c r="Q58" s="63"/>
      <c r="R58" s="63"/>
      <c r="S58" s="63">
        <v>1998</v>
      </c>
      <c r="T58" s="65">
        <v>43.2</v>
      </c>
      <c r="U58" s="65">
        <v>62.672936342343398</v>
      </c>
      <c r="V58" s="65">
        <v>114.171738108639</v>
      </c>
    </row>
    <row r="59" spans="1:22">
      <c r="A59" s="63">
        <v>1999</v>
      </c>
      <c r="B59" s="64">
        <v>133.80000000000001</v>
      </c>
      <c r="C59" s="64">
        <v>473.07562345282503</v>
      </c>
      <c r="D59" s="64">
        <v>676.12602523136695</v>
      </c>
      <c r="E59" s="63"/>
      <c r="F59" s="63"/>
      <c r="G59" s="63">
        <v>1999</v>
      </c>
      <c r="H59" s="64">
        <v>36.6</v>
      </c>
      <c r="I59" s="64">
        <v>139.95892919814099</v>
      </c>
      <c r="J59" s="64">
        <v>206.88502305586101</v>
      </c>
      <c r="K59" s="63"/>
      <c r="L59" s="63"/>
      <c r="M59" s="63">
        <v>1999</v>
      </c>
      <c r="N59" s="64">
        <v>607</v>
      </c>
      <c r="O59" s="64">
        <v>96.812485691993899</v>
      </c>
      <c r="P59" s="64">
        <v>183.98178397857001</v>
      </c>
      <c r="Q59" s="63"/>
      <c r="R59" s="63"/>
      <c r="S59" s="63">
        <v>1999</v>
      </c>
      <c r="T59" s="65">
        <v>42.7</v>
      </c>
      <c r="U59" s="65">
        <v>64.258401983953604</v>
      </c>
      <c r="V59" s="65">
        <v>112.296785596104</v>
      </c>
    </row>
    <row r="60" spans="1:22">
      <c r="A60" s="63">
        <v>2000</v>
      </c>
      <c r="B60" s="64">
        <v>136.9</v>
      </c>
      <c r="C60" s="64">
        <v>520.08164391553305</v>
      </c>
      <c r="D60" s="64">
        <v>712.77484421749705</v>
      </c>
      <c r="E60" s="63"/>
      <c r="F60" s="63"/>
      <c r="G60" s="63">
        <v>2000</v>
      </c>
      <c r="H60" s="64">
        <v>38.1</v>
      </c>
      <c r="I60" s="64">
        <v>150.74624109409501</v>
      </c>
      <c r="J60" s="64">
        <v>211.64166759272999</v>
      </c>
      <c r="K60" s="63"/>
      <c r="L60" s="63"/>
      <c r="M60" s="63">
        <v>2000</v>
      </c>
      <c r="N60" s="64">
        <v>632</v>
      </c>
      <c r="O60" s="64">
        <v>103.944803571454</v>
      </c>
      <c r="P60" s="64">
        <v>184.92932250483801</v>
      </c>
      <c r="Q60" s="63"/>
      <c r="R60" s="63"/>
      <c r="S60" s="63">
        <v>2000</v>
      </c>
      <c r="T60" s="65">
        <v>42</v>
      </c>
      <c r="U60" s="65">
        <v>67.069609628839402</v>
      </c>
      <c r="V60" s="65">
        <v>116.302561529133</v>
      </c>
    </row>
    <row r="61" spans="1:22">
      <c r="A61" s="63">
        <v>2001</v>
      </c>
      <c r="B61" s="64">
        <v>138.19999999999999</v>
      </c>
      <c r="C61" s="64">
        <v>515.76069728821199</v>
      </c>
      <c r="D61" s="64">
        <v>663.29951477772295</v>
      </c>
      <c r="E61" s="63"/>
      <c r="F61" s="63"/>
      <c r="G61" s="63">
        <v>2001</v>
      </c>
      <c r="H61" s="64">
        <v>39.6</v>
      </c>
      <c r="I61" s="64">
        <v>151.867996789171</v>
      </c>
      <c r="J61" s="64">
        <v>200.19608504950199</v>
      </c>
      <c r="K61" s="63"/>
      <c r="L61" s="63"/>
      <c r="M61" s="63">
        <v>2001</v>
      </c>
      <c r="N61" s="64">
        <v>705</v>
      </c>
      <c r="O61" s="64">
        <v>102.073842675253</v>
      </c>
      <c r="P61" s="64">
        <v>168.776153217576</v>
      </c>
      <c r="Q61" s="63"/>
      <c r="R61" s="63"/>
      <c r="S61" s="63">
        <v>2001</v>
      </c>
      <c r="T61" s="65">
        <v>40.200000000000003</v>
      </c>
      <c r="U61" s="65">
        <v>65.167401773951894</v>
      </c>
      <c r="V61" s="65">
        <v>106.22220304103</v>
      </c>
    </row>
    <row r="62" spans="1:22">
      <c r="A62" s="63">
        <v>2002</v>
      </c>
      <c r="B62" s="64">
        <v>129.30000000000001</v>
      </c>
      <c r="C62" s="64">
        <v>530.65491352726394</v>
      </c>
      <c r="D62" s="64">
        <v>679.36544808976805</v>
      </c>
      <c r="E62" s="63"/>
      <c r="F62" s="63"/>
      <c r="G62" s="63">
        <v>2002</v>
      </c>
      <c r="H62" s="64">
        <v>38</v>
      </c>
      <c r="I62" s="64">
        <v>159.012564206543</v>
      </c>
      <c r="J62" s="64">
        <v>210.741552708303</v>
      </c>
      <c r="K62" s="63"/>
      <c r="L62" s="63"/>
      <c r="M62" s="63">
        <v>2002</v>
      </c>
      <c r="N62" s="64">
        <v>665</v>
      </c>
      <c r="O62" s="64">
        <v>104.26438328614</v>
      </c>
      <c r="P62" s="64">
        <v>172.61048236969501</v>
      </c>
      <c r="Q62" s="63"/>
      <c r="R62" s="63"/>
      <c r="S62" s="63">
        <v>2002</v>
      </c>
      <c r="T62" s="65">
        <v>35</v>
      </c>
      <c r="U62" s="65">
        <v>67.4264241412329</v>
      </c>
      <c r="V62" s="65">
        <v>112.38540214101999</v>
      </c>
    </row>
    <row r="63" spans="1:22">
      <c r="A63" s="63">
        <v>2003</v>
      </c>
      <c r="B63" s="64">
        <v>142.19999999999999</v>
      </c>
      <c r="C63" s="64">
        <v>532.21386475102202</v>
      </c>
      <c r="D63" s="64">
        <v>689.53479142786102</v>
      </c>
      <c r="E63" s="63"/>
      <c r="F63" s="63"/>
      <c r="G63" s="63">
        <v>2003</v>
      </c>
      <c r="H63" s="64">
        <v>33.9</v>
      </c>
      <c r="I63" s="64">
        <v>160.201241780245</v>
      </c>
      <c r="J63" s="64">
        <v>214.21540631431799</v>
      </c>
      <c r="K63" s="63"/>
      <c r="L63" s="63"/>
      <c r="M63" s="63">
        <v>2003</v>
      </c>
      <c r="N63" s="64">
        <v>730</v>
      </c>
      <c r="O63" s="64">
        <v>105.28864785594401</v>
      </c>
      <c r="P63" s="64">
        <v>175.31345571616001</v>
      </c>
      <c r="Q63" s="63"/>
      <c r="R63" s="63"/>
      <c r="S63" s="63">
        <v>2003</v>
      </c>
      <c r="T63" s="65">
        <v>44.2</v>
      </c>
      <c r="U63" s="65">
        <v>69.675593492359198</v>
      </c>
      <c r="V63" s="65">
        <v>119.895264227494</v>
      </c>
    </row>
    <row r="64" spans="1:22">
      <c r="A64" s="63">
        <v>2004</v>
      </c>
      <c r="B64" s="64">
        <v>160.30000000000001</v>
      </c>
      <c r="C64" s="64">
        <v>567.46968523161797</v>
      </c>
      <c r="D64" s="64">
        <v>745.29946738373599</v>
      </c>
      <c r="E64" s="63"/>
      <c r="F64" s="63"/>
      <c r="G64" s="63">
        <v>2004</v>
      </c>
      <c r="H64" s="64">
        <v>42.2</v>
      </c>
      <c r="I64" s="64">
        <v>172.25341501558799</v>
      </c>
      <c r="J64" s="64">
        <v>236.368889577499</v>
      </c>
      <c r="K64" s="63"/>
      <c r="L64" s="63"/>
      <c r="M64" s="63">
        <v>2004</v>
      </c>
      <c r="N64" s="64">
        <v>855</v>
      </c>
      <c r="O64" s="64">
        <v>111.51430034038199</v>
      </c>
      <c r="P64" s="64">
        <v>185.28183766934001</v>
      </c>
      <c r="Q64" s="63"/>
      <c r="R64" s="63"/>
      <c r="S64" s="63">
        <v>2004</v>
      </c>
      <c r="T64" s="65">
        <v>43.2</v>
      </c>
      <c r="U64" s="65">
        <v>71.353676059214294</v>
      </c>
      <c r="V64" s="65">
        <v>125.265586620893</v>
      </c>
    </row>
    <row r="65" spans="1:22">
      <c r="A65" s="63">
        <v>2005</v>
      </c>
      <c r="B65" s="64">
        <v>147.9</v>
      </c>
      <c r="C65" s="64">
        <v>575.57841821611896</v>
      </c>
      <c r="D65" s="64">
        <v>761.469897590546</v>
      </c>
      <c r="E65" s="63"/>
      <c r="F65" s="63"/>
      <c r="G65" s="63">
        <v>2005</v>
      </c>
      <c r="H65" s="64">
        <v>43.1</v>
      </c>
      <c r="I65" s="64">
        <v>175.599356451869</v>
      </c>
      <c r="J65" s="64">
        <v>243.99742441771301</v>
      </c>
      <c r="K65" s="63"/>
      <c r="L65" s="63"/>
      <c r="M65" s="63">
        <v>2005</v>
      </c>
      <c r="N65" s="64">
        <v>831</v>
      </c>
      <c r="O65" s="64">
        <v>113.213079306258</v>
      </c>
      <c r="P65" s="64">
        <v>185.71189108283599</v>
      </c>
      <c r="Q65" s="63"/>
      <c r="R65" s="63"/>
      <c r="S65" s="63">
        <v>2005</v>
      </c>
      <c r="T65" s="65">
        <v>42</v>
      </c>
      <c r="U65" s="65">
        <v>71.883146318573793</v>
      </c>
      <c r="V65" s="65">
        <v>125.582230746904</v>
      </c>
    </row>
    <row r="66" spans="1:22">
      <c r="A66" s="63">
        <v>2006</v>
      </c>
      <c r="B66" s="64">
        <v>149.1</v>
      </c>
      <c r="C66" s="64">
        <v>658.83952855551297</v>
      </c>
      <c r="D66" s="64">
        <v>880.90288261229796</v>
      </c>
      <c r="E66" s="63"/>
      <c r="F66" s="63"/>
      <c r="G66" s="63">
        <v>2006</v>
      </c>
      <c r="H66" s="64">
        <v>42.9</v>
      </c>
      <c r="I66" s="64">
        <v>194.290231773323</v>
      </c>
      <c r="J66" s="64">
        <v>280.17550098815798</v>
      </c>
      <c r="K66" s="63"/>
      <c r="L66" s="63"/>
      <c r="M66" s="63">
        <v>2006</v>
      </c>
      <c r="N66" s="64">
        <v>814</v>
      </c>
      <c r="O66" s="64">
        <v>127.260782997273</v>
      </c>
      <c r="P66" s="64">
        <v>188.68822137425801</v>
      </c>
      <c r="Q66" s="63"/>
      <c r="R66" s="63"/>
      <c r="S66" s="63">
        <v>2006</v>
      </c>
      <c r="T66" s="65">
        <v>38.6</v>
      </c>
      <c r="U66" s="65">
        <v>77.233263770627204</v>
      </c>
      <c r="V66" s="65">
        <v>137.79807417443499</v>
      </c>
    </row>
    <row r="67" spans="1:22">
      <c r="A67" s="63">
        <v>2007</v>
      </c>
      <c r="B67" s="64">
        <v>150.69999999999999</v>
      </c>
      <c r="C67" s="64">
        <v>727.87308355250195</v>
      </c>
      <c r="D67" s="64">
        <v>925.92140785160404</v>
      </c>
      <c r="E67" s="63"/>
      <c r="F67" s="63"/>
      <c r="G67" s="63">
        <v>2007</v>
      </c>
      <c r="H67" s="64">
        <v>41.7</v>
      </c>
      <c r="I67" s="64">
        <v>214.60329729259999</v>
      </c>
      <c r="J67" s="64">
        <v>294.59180582405702</v>
      </c>
      <c r="K67" s="63"/>
      <c r="L67" s="63"/>
      <c r="M67" s="63">
        <v>2007</v>
      </c>
      <c r="N67" s="64">
        <v>879</v>
      </c>
      <c r="O67" s="64">
        <v>139.27573514361001</v>
      </c>
      <c r="P67" s="64">
        <v>210.622909301064</v>
      </c>
      <c r="Q67" s="63"/>
      <c r="R67" s="63"/>
      <c r="S67" s="63">
        <v>2007</v>
      </c>
      <c r="T67" s="65">
        <v>40.200000000000003</v>
      </c>
      <c r="U67" s="65">
        <v>77.449874956489595</v>
      </c>
      <c r="V67" s="65">
        <v>134.50128478344101</v>
      </c>
    </row>
    <row r="68" spans="1:22">
      <c r="A68" s="63">
        <v>2008</v>
      </c>
      <c r="B68" s="64">
        <v>153.30000000000001</v>
      </c>
      <c r="C68" s="64">
        <v>884.07272921349397</v>
      </c>
      <c r="D68" s="64">
        <v>1106.4767176974599</v>
      </c>
      <c r="E68" s="63"/>
      <c r="F68" s="63"/>
      <c r="G68" s="63">
        <v>2008</v>
      </c>
      <c r="H68" s="64">
        <v>39.700000000000003</v>
      </c>
      <c r="I68" s="64">
        <v>253.944085451239</v>
      </c>
      <c r="J68" s="64">
        <v>342.49879161029401</v>
      </c>
      <c r="K68" s="63"/>
      <c r="L68" s="63"/>
      <c r="M68" s="63">
        <v>2008</v>
      </c>
      <c r="N68" s="64">
        <v>813</v>
      </c>
      <c r="O68" s="64">
        <v>165.96856785825599</v>
      </c>
      <c r="P68" s="64">
        <v>244.79015690250699</v>
      </c>
      <c r="Q68" s="63"/>
      <c r="R68" s="63"/>
      <c r="S68" s="63">
        <v>2008</v>
      </c>
      <c r="T68" s="65">
        <v>44.8</v>
      </c>
      <c r="U68" s="65">
        <v>84.758207884875205</v>
      </c>
      <c r="V68" s="65">
        <v>142.26019495015399</v>
      </c>
    </row>
    <row r="69" spans="1:22">
      <c r="A69" s="63">
        <v>2009</v>
      </c>
      <c r="B69" s="64">
        <v>164.4</v>
      </c>
      <c r="C69" s="64">
        <v>962.830029536437</v>
      </c>
      <c r="D69" s="64">
        <v>1209.63941878638</v>
      </c>
      <c r="E69" s="63"/>
      <c r="F69" s="63"/>
      <c r="G69" s="63">
        <v>2009</v>
      </c>
      <c r="H69" s="64">
        <v>44</v>
      </c>
      <c r="I69" s="64">
        <v>273.75764984874502</v>
      </c>
      <c r="J69" s="64">
        <v>371.59549841991497</v>
      </c>
      <c r="K69" s="63"/>
      <c r="L69" s="63"/>
      <c r="M69" s="63">
        <v>2009</v>
      </c>
      <c r="N69" s="64">
        <v>776</v>
      </c>
      <c r="O69" s="64">
        <v>177.264396497501</v>
      </c>
      <c r="P69" s="64">
        <v>256.81980931326802</v>
      </c>
      <c r="Q69" s="63"/>
      <c r="R69" s="63"/>
      <c r="S69" s="63">
        <v>2009</v>
      </c>
      <c r="T69" s="65">
        <v>44.3</v>
      </c>
      <c r="U69" s="65">
        <v>92.219772807428996</v>
      </c>
      <c r="V69" s="65">
        <v>153.20936244105999</v>
      </c>
    </row>
    <row r="70" spans="1:22">
      <c r="A70" s="63">
        <v>2010</v>
      </c>
      <c r="B70" s="64">
        <v>152.6</v>
      </c>
      <c r="C70" s="64">
        <v>1084.84265562167</v>
      </c>
      <c r="D70" s="64" t="s">
        <v>205</v>
      </c>
      <c r="E70" s="63"/>
      <c r="F70" s="63"/>
      <c r="G70" s="63">
        <v>2010</v>
      </c>
      <c r="H70" s="64">
        <v>43.5</v>
      </c>
      <c r="I70" s="64">
        <v>298.89194826920101</v>
      </c>
      <c r="J70" s="64" t="s">
        <v>205</v>
      </c>
      <c r="K70" s="63"/>
      <c r="L70" s="63"/>
      <c r="M70" s="63">
        <v>2010</v>
      </c>
      <c r="N70" s="64">
        <v>812</v>
      </c>
      <c r="O70" s="64">
        <v>200.815351830286</v>
      </c>
      <c r="P70" s="64" t="s">
        <v>205</v>
      </c>
      <c r="Q70" s="63"/>
      <c r="R70" s="63"/>
      <c r="S70" s="63">
        <v>2010</v>
      </c>
      <c r="T70" s="65">
        <v>46.1</v>
      </c>
      <c r="U70" s="65">
        <v>97.440614448084105</v>
      </c>
      <c r="V70" s="65" t="s">
        <v>205</v>
      </c>
    </row>
    <row r="71" spans="1:22">
      <c r="A71" s="63">
        <v>2011</v>
      </c>
      <c r="B71" s="64">
        <v>146.80000000000001</v>
      </c>
      <c r="C71" s="64">
        <v>1234.7603343596099</v>
      </c>
      <c r="D71" s="64" t="s">
        <v>205</v>
      </c>
      <c r="E71" s="63"/>
      <c r="F71" s="63"/>
      <c r="G71" s="63">
        <v>2011</v>
      </c>
      <c r="H71" s="64">
        <v>42</v>
      </c>
      <c r="I71" s="64">
        <v>331.05817632630698</v>
      </c>
      <c r="J71" s="64" t="s">
        <v>205</v>
      </c>
      <c r="K71" s="63"/>
      <c r="L71" s="63"/>
      <c r="M71" s="63">
        <v>2011</v>
      </c>
      <c r="N71" s="64">
        <v>790</v>
      </c>
      <c r="O71" s="64">
        <v>225.681068614059</v>
      </c>
      <c r="P71" s="64" t="s">
        <v>205</v>
      </c>
      <c r="Q71" s="63"/>
      <c r="R71" s="63"/>
      <c r="S71" s="63">
        <v>2011</v>
      </c>
      <c r="T71" s="65">
        <v>43.6</v>
      </c>
      <c r="U71" s="65">
        <v>107.26009798454</v>
      </c>
      <c r="V71" s="65" t="s">
        <v>205</v>
      </c>
    </row>
    <row r="72" spans="1:22">
      <c r="A72" s="63">
        <v>2012</v>
      </c>
      <c r="B72" s="64">
        <v>123.1</v>
      </c>
      <c r="C72" s="64">
        <v>1308.3482335987401</v>
      </c>
      <c r="D72" s="64" t="s">
        <v>205</v>
      </c>
      <c r="E72" s="63"/>
      <c r="F72" s="63"/>
      <c r="G72" s="63">
        <v>2012</v>
      </c>
      <c r="H72" s="64">
        <v>40</v>
      </c>
      <c r="I72" s="64">
        <v>350.05633726369803</v>
      </c>
      <c r="J72" s="64" t="s">
        <v>205</v>
      </c>
      <c r="K72" s="63"/>
      <c r="L72" s="63"/>
      <c r="M72" s="63">
        <v>2012</v>
      </c>
      <c r="N72" s="64">
        <v>892</v>
      </c>
      <c r="O72" s="64">
        <v>235.844640420763</v>
      </c>
      <c r="P72" s="64" t="s">
        <v>205</v>
      </c>
      <c r="Q72" s="63"/>
      <c r="R72" s="63"/>
      <c r="S72" s="63">
        <v>2012</v>
      </c>
      <c r="T72" s="65">
        <v>46.2</v>
      </c>
      <c r="U72" s="65">
        <v>113.18999686651</v>
      </c>
      <c r="V72" s="65" t="s">
        <v>205</v>
      </c>
    </row>
    <row r="73" spans="1:22">
      <c r="A73" s="63">
        <v>2013</v>
      </c>
      <c r="B73" s="64">
        <v>158.1</v>
      </c>
      <c r="C73" s="64">
        <v>1342.6981418621999</v>
      </c>
      <c r="D73" s="64" t="s">
        <v>205</v>
      </c>
      <c r="E73" s="63"/>
      <c r="F73" s="63"/>
      <c r="G73" s="63">
        <v>2013</v>
      </c>
      <c r="H73" s="64">
        <v>44</v>
      </c>
      <c r="I73" s="64">
        <v>355.34251740692702</v>
      </c>
      <c r="J73" s="64" t="s">
        <v>205</v>
      </c>
      <c r="K73" s="63"/>
      <c r="L73" s="63"/>
      <c r="M73" s="63">
        <v>2013</v>
      </c>
      <c r="N73" s="64">
        <v>821</v>
      </c>
      <c r="O73" s="64">
        <v>241.095339724642</v>
      </c>
      <c r="P73" s="64" t="s">
        <v>205</v>
      </c>
      <c r="Q73" s="63"/>
      <c r="R73" s="63"/>
      <c r="S73" s="63">
        <v>2013</v>
      </c>
      <c r="T73" s="65">
        <v>47.1</v>
      </c>
      <c r="U73" s="65">
        <v>113.934255274181</v>
      </c>
      <c r="V73" s="65" t="s">
        <v>205</v>
      </c>
    </row>
    <row r="74" spans="1:22">
      <c r="A74" s="63">
        <v>2014</v>
      </c>
      <c r="B74" s="64">
        <v>171</v>
      </c>
      <c r="C74" s="64">
        <v>1418.92217762312</v>
      </c>
      <c r="D74" s="64" t="s">
        <v>205</v>
      </c>
      <c r="E74" s="63"/>
      <c r="F74" s="63"/>
      <c r="G74" s="63">
        <v>2014</v>
      </c>
      <c r="H74" s="64">
        <v>47.5</v>
      </c>
      <c r="I74" s="64">
        <v>374.472199869549</v>
      </c>
      <c r="J74" s="64" t="s">
        <v>205</v>
      </c>
      <c r="K74" s="63"/>
      <c r="L74" s="63"/>
      <c r="M74" s="63">
        <v>2014</v>
      </c>
      <c r="N74" s="64">
        <v>838</v>
      </c>
      <c r="O74" s="64">
        <v>254.74452843193399</v>
      </c>
      <c r="P74" s="64" t="s">
        <v>205</v>
      </c>
      <c r="Q74" s="63"/>
      <c r="R74" s="63"/>
      <c r="S74" s="63">
        <v>2014</v>
      </c>
      <c r="T74" s="65">
        <v>43.7</v>
      </c>
      <c r="U74" s="65">
        <v>122.76147534326201</v>
      </c>
      <c r="V74" s="65" t="s">
        <v>205</v>
      </c>
    </row>
    <row r="75" spans="1:22">
      <c r="A75" s="63">
        <v>2015</v>
      </c>
      <c r="B75" s="64">
        <v>168.4</v>
      </c>
      <c r="C75" s="64" t="s">
        <v>205</v>
      </c>
      <c r="D75" s="64" t="s">
        <v>205</v>
      </c>
      <c r="E75" s="63"/>
      <c r="F75" s="63"/>
      <c r="G75" s="63">
        <v>2015</v>
      </c>
      <c r="H75" s="64">
        <v>48</v>
      </c>
      <c r="I75" s="64" t="s">
        <v>205</v>
      </c>
      <c r="J75" s="64" t="s">
        <v>205</v>
      </c>
      <c r="K75" s="63"/>
      <c r="L75" s="63"/>
      <c r="M75" s="63">
        <v>2015</v>
      </c>
      <c r="N75" s="64">
        <v>766</v>
      </c>
      <c r="O75" s="64" t="s">
        <v>205</v>
      </c>
      <c r="P75" s="64" t="s">
        <v>205</v>
      </c>
      <c r="Q75" s="63"/>
      <c r="R75" s="63"/>
      <c r="S75" s="63">
        <v>2015</v>
      </c>
      <c r="T75" s="65">
        <v>43.6</v>
      </c>
      <c r="U75" s="65" t="s">
        <v>205</v>
      </c>
      <c r="V75" s="65" t="s">
        <v>205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MASTER</vt:lpstr>
      <vt:lpstr>Yields</vt:lpstr>
      <vt:lpstr>Private seed shares</vt:lpstr>
      <vt:lpstr>Private protection shares</vt:lpstr>
      <vt:lpstr>Public R&amp;D</vt:lpstr>
      <vt:lpstr>Public crop shares</vt:lpstr>
      <vt:lpstr>New Huffman figures</vt:lpstr>
      <vt:lpstr>Crops</vt:lpstr>
      <vt:lpstr>Export</vt:lpstr>
      <vt:lpstr>guzey</vt:lpstr>
      <vt:lpstr>ValidCrops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dc:description/>
  <cp:lastModifiedBy>guzey</cp:lastModifiedBy>
  <cp:revision>1</cp:revision>
  <dcterms:created xsi:type="dcterms:W3CDTF">2016-07-10T16:01:15Z</dcterms:created>
  <dcterms:modified xsi:type="dcterms:W3CDTF">2020-12-29T17:35:24Z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